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khfadam_/Documents/TA_JemberKamera/jember-kamera-app/"/>
    </mc:Choice>
  </mc:AlternateContent>
  <xr:revisionPtr revIDLastSave="0" documentId="13_ncr:1_{DB263B4B-BB15-454B-9E37-B6291B21FE8D}" xr6:coauthVersionLast="47" xr6:coauthVersionMax="47" xr10:uidLastSave="{00000000-0000-0000-0000-000000000000}"/>
  <bookViews>
    <workbookView xWindow="0" yWindow="760" windowWidth="30240" windowHeight="17580" activeTab="3" xr2:uid="{00000000-000D-0000-FFFF-FFFF00000000}"/>
  </bookViews>
  <sheets>
    <sheet name="Penjelasan Rumus" sheetId="1" r:id="rId1"/>
    <sheet name="Petunjuk" sheetId="2" r:id="rId2"/>
    <sheet name="Data Awal" sheetId="3" r:id="rId3"/>
    <sheet name="Skor Kriteria" sheetId="4" r:id="rId4"/>
    <sheet name="Normalisasi" sheetId="5" r:id="rId5"/>
    <sheet name="Terbobot" sheetId="6" r:id="rId6"/>
    <sheet name="Ideal &amp; Jarak" sheetId="7" r:id="rId7"/>
    <sheet name="Ranking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4" l="1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C23" i="4"/>
  <c r="C22" i="4"/>
  <c r="C21" i="4"/>
  <c r="C20" i="4"/>
  <c r="C18" i="4"/>
  <c r="C17" i="4"/>
  <c r="C15" i="4"/>
  <c r="C14" i="4"/>
  <c r="C13" i="4"/>
  <c r="C12" i="4"/>
  <c r="C11" i="4"/>
  <c r="C10" i="4"/>
  <c r="C9" i="4"/>
  <c r="C8" i="4"/>
  <c r="C7" i="4"/>
  <c r="C6" i="4"/>
  <c r="C5" i="4"/>
  <c r="F5" i="4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B19" i="7"/>
  <c r="B11" i="7"/>
  <c r="B28" i="6"/>
  <c r="B28" i="7" s="1"/>
  <c r="B12" i="6"/>
  <c r="B12" i="7" s="1"/>
  <c r="B29" i="5"/>
  <c r="B29" i="6" s="1"/>
  <c r="B29" i="7" s="1"/>
  <c r="B27" i="5"/>
  <c r="B27" i="6" s="1"/>
  <c r="B27" i="7" s="1"/>
  <c r="B25" i="5"/>
  <c r="B25" i="6" s="1"/>
  <c r="B25" i="7" s="1"/>
  <c r="B23" i="5"/>
  <c r="B23" i="6" s="1"/>
  <c r="B23" i="7" s="1"/>
  <c r="B21" i="5"/>
  <c r="B21" i="6" s="1"/>
  <c r="B21" i="7" s="1"/>
  <c r="B19" i="5"/>
  <c r="B19" i="6" s="1"/>
  <c r="B17" i="5"/>
  <c r="B17" i="6" s="1"/>
  <c r="B17" i="7" s="1"/>
  <c r="B15" i="5"/>
  <c r="B15" i="6" s="1"/>
  <c r="B15" i="7" s="1"/>
  <c r="B13" i="5"/>
  <c r="B13" i="6" s="1"/>
  <c r="B13" i="7" s="1"/>
  <c r="B11" i="5"/>
  <c r="B11" i="6" s="1"/>
  <c r="F23" i="4"/>
  <c r="B23" i="4"/>
  <c r="F22" i="4"/>
  <c r="B22" i="4"/>
  <c r="B28" i="5" s="1"/>
  <c r="F21" i="4"/>
  <c r="B21" i="4"/>
  <c r="F20" i="4"/>
  <c r="B20" i="4"/>
  <c r="B26" i="5" s="1"/>
  <c r="B26" i="6" s="1"/>
  <c r="B26" i="7" s="1"/>
  <c r="F19" i="4"/>
  <c r="C19" i="4"/>
  <c r="B19" i="4"/>
  <c r="F18" i="4"/>
  <c r="B18" i="4"/>
  <c r="B24" i="5" s="1"/>
  <c r="B24" i="6" s="1"/>
  <c r="B24" i="7" s="1"/>
  <c r="F17" i="4"/>
  <c r="B17" i="4"/>
  <c r="F16" i="4"/>
  <c r="B16" i="4"/>
  <c r="B22" i="5" s="1"/>
  <c r="B22" i="6" s="1"/>
  <c r="B22" i="7" s="1"/>
  <c r="F15" i="4"/>
  <c r="B15" i="4"/>
  <c r="F14" i="4"/>
  <c r="B14" i="4"/>
  <c r="B20" i="5" s="1"/>
  <c r="B20" i="6" s="1"/>
  <c r="B20" i="7" s="1"/>
  <c r="F13" i="4"/>
  <c r="B13" i="4"/>
  <c r="F12" i="4"/>
  <c r="B12" i="4"/>
  <c r="B18" i="5" s="1"/>
  <c r="B18" i="6" s="1"/>
  <c r="B18" i="7" s="1"/>
  <c r="F11" i="4"/>
  <c r="B11" i="4"/>
  <c r="F10" i="4"/>
  <c r="B10" i="4"/>
  <c r="B16" i="5" s="1"/>
  <c r="B16" i="6" s="1"/>
  <c r="B16" i="7" s="1"/>
  <c r="F9" i="4"/>
  <c r="B9" i="4"/>
  <c r="F8" i="4"/>
  <c r="B8" i="4"/>
  <c r="B14" i="5" s="1"/>
  <c r="B14" i="6" s="1"/>
  <c r="B14" i="7" s="1"/>
  <c r="F7" i="4"/>
  <c r="B7" i="4"/>
  <c r="F6" i="4"/>
  <c r="B6" i="4"/>
  <c r="B12" i="5" s="1"/>
  <c r="B5" i="4"/>
  <c r="B8" i="3"/>
  <c r="B7" i="3"/>
  <c r="B6" i="3"/>
  <c r="B5" i="3"/>
  <c r="G9" i="4" l="1"/>
  <c r="G13" i="4"/>
  <c r="G15" i="4"/>
  <c r="G19" i="4"/>
  <c r="B8" i="5"/>
  <c r="F26" i="5" s="1"/>
  <c r="F26" i="6" s="1"/>
  <c r="G8" i="4"/>
  <c r="C16" i="4"/>
  <c r="G5" i="4"/>
  <c r="G17" i="4"/>
  <c r="F24" i="5" l="1"/>
  <c r="F24" i="6" s="1"/>
  <c r="F20" i="5"/>
  <c r="F20" i="6" s="1"/>
  <c r="G14" i="4"/>
  <c r="G22" i="4"/>
  <c r="G10" i="4"/>
  <c r="F15" i="5"/>
  <c r="F15" i="6" s="1"/>
  <c r="F29" i="5"/>
  <c r="F29" i="6" s="1"/>
  <c r="F25" i="5"/>
  <c r="F25" i="6" s="1"/>
  <c r="F11" i="5"/>
  <c r="F11" i="6" s="1"/>
  <c r="F17" i="5"/>
  <c r="F17" i="6" s="1"/>
  <c r="F21" i="5"/>
  <c r="F21" i="6" s="1"/>
  <c r="F13" i="5"/>
  <c r="F13" i="6" s="1"/>
  <c r="F27" i="5"/>
  <c r="F27" i="6" s="1"/>
  <c r="F23" i="5"/>
  <c r="F23" i="6" s="1"/>
  <c r="F19" i="5"/>
  <c r="F19" i="6" s="1"/>
  <c r="F14" i="5"/>
  <c r="F14" i="6" s="1"/>
  <c r="F22" i="5"/>
  <c r="F22" i="6" s="1"/>
  <c r="F18" i="5"/>
  <c r="F18" i="6" s="1"/>
  <c r="G18" i="4"/>
  <c r="B6" i="5"/>
  <c r="D24" i="5" s="1"/>
  <c r="D24" i="6" s="1"/>
  <c r="F12" i="5"/>
  <c r="F12" i="6" s="1"/>
  <c r="G11" i="4"/>
  <c r="G23" i="4"/>
  <c r="G12" i="4"/>
  <c r="G16" i="4"/>
  <c r="B7" i="5"/>
  <c r="E29" i="5" s="1"/>
  <c r="E29" i="6" s="1"/>
  <c r="G7" i="4"/>
  <c r="G20" i="4"/>
  <c r="G21" i="4"/>
  <c r="F16" i="5"/>
  <c r="F16" i="6" s="1"/>
  <c r="F28" i="5"/>
  <c r="F28" i="6" s="1"/>
  <c r="G6" i="4"/>
  <c r="B5" i="5"/>
  <c r="C20" i="5" s="1"/>
  <c r="E17" i="5" l="1"/>
  <c r="E17" i="6" s="1"/>
  <c r="D22" i="5"/>
  <c r="D22" i="6" s="1"/>
  <c r="D28" i="5"/>
  <c r="D28" i="6" s="1"/>
  <c r="D14" i="5"/>
  <c r="D14" i="6" s="1"/>
  <c r="D20" i="5"/>
  <c r="D20" i="6" s="1"/>
  <c r="D18" i="5"/>
  <c r="D18" i="6" s="1"/>
  <c r="D26" i="5"/>
  <c r="D26" i="6" s="1"/>
  <c r="C17" i="5"/>
  <c r="C17" i="6" s="1"/>
  <c r="C20" i="6"/>
  <c r="E19" i="5"/>
  <c r="E19" i="6" s="1"/>
  <c r="E11" i="5"/>
  <c r="E11" i="6" s="1"/>
  <c r="E12" i="5"/>
  <c r="E12" i="6" s="1"/>
  <c r="E15" i="5"/>
  <c r="E15" i="6" s="1"/>
  <c r="E25" i="5"/>
  <c r="E25" i="6" s="1"/>
  <c r="E14" i="5"/>
  <c r="E14" i="6" s="1"/>
  <c r="E22" i="5"/>
  <c r="E22" i="6" s="1"/>
  <c r="E18" i="5"/>
  <c r="E18" i="6" s="1"/>
  <c r="E16" i="5"/>
  <c r="E16" i="6" s="1"/>
  <c r="E28" i="5"/>
  <c r="E28" i="6" s="1"/>
  <c r="E24" i="5"/>
  <c r="E24" i="6" s="1"/>
  <c r="E26" i="5"/>
  <c r="E26" i="6" s="1"/>
  <c r="E20" i="5"/>
  <c r="E20" i="6" s="1"/>
  <c r="C16" i="5"/>
  <c r="C22" i="5"/>
  <c r="E13" i="5"/>
  <c r="E13" i="6" s="1"/>
  <c r="D8" i="7"/>
  <c r="C8" i="7"/>
  <c r="C28" i="5"/>
  <c r="D25" i="5"/>
  <c r="D25" i="6" s="1"/>
  <c r="D19" i="5"/>
  <c r="D19" i="6" s="1"/>
  <c r="D27" i="5"/>
  <c r="D27" i="6" s="1"/>
  <c r="D29" i="5"/>
  <c r="D29" i="6" s="1"/>
  <c r="D17" i="5"/>
  <c r="D17" i="6" s="1"/>
  <c r="D13" i="5"/>
  <c r="D13" i="6" s="1"/>
  <c r="D11" i="5"/>
  <c r="D11" i="6" s="1"/>
  <c r="D21" i="5"/>
  <c r="D21" i="6" s="1"/>
  <c r="D23" i="5"/>
  <c r="D23" i="6" s="1"/>
  <c r="D15" i="5"/>
  <c r="D15" i="6" s="1"/>
  <c r="D12" i="5"/>
  <c r="D12" i="6" s="1"/>
  <c r="E27" i="5"/>
  <c r="E27" i="6" s="1"/>
  <c r="C12" i="5"/>
  <c r="C26" i="5"/>
  <c r="E23" i="5"/>
  <c r="E23" i="6" s="1"/>
  <c r="C13" i="5"/>
  <c r="C14" i="5"/>
  <c r="C18" i="5"/>
  <c r="C27" i="5"/>
  <c r="C23" i="5"/>
  <c r="C21" i="5"/>
  <c r="C11" i="5"/>
  <c r="C19" i="5"/>
  <c r="C25" i="5"/>
  <c r="C29" i="5"/>
  <c r="C15" i="5"/>
  <c r="C24" i="5"/>
  <c r="E21" i="5"/>
  <c r="E21" i="6" s="1"/>
  <c r="D16" i="5"/>
  <c r="D16" i="6" s="1"/>
  <c r="D6" i="7" l="1"/>
  <c r="C6" i="7"/>
  <c r="G21" i="5"/>
  <c r="C21" i="6"/>
  <c r="G12" i="5"/>
  <c r="C12" i="6"/>
  <c r="D7" i="7"/>
  <c r="C7" i="7"/>
  <c r="G25" i="5"/>
  <c r="C25" i="6"/>
  <c r="G28" i="5"/>
  <c r="C28" i="6"/>
  <c r="C19" i="6"/>
  <c r="G19" i="5"/>
  <c r="C11" i="6"/>
  <c r="G11" i="5"/>
  <c r="C26" i="6"/>
  <c r="G26" i="5"/>
  <c r="G17" i="6"/>
  <c r="G20" i="6"/>
  <c r="G29" i="5"/>
  <c r="C29" i="6"/>
  <c r="C14" i="6"/>
  <c r="G14" i="5"/>
  <c r="G16" i="5"/>
  <c r="C16" i="6"/>
  <c r="G13" i="5"/>
  <c r="C13" i="6"/>
  <c r="C23" i="6"/>
  <c r="G23" i="5"/>
  <c r="C22" i="6"/>
  <c r="G22" i="5"/>
  <c r="G24" i="5"/>
  <c r="C24" i="6"/>
  <c r="C27" i="6"/>
  <c r="G27" i="5"/>
  <c r="C15" i="6"/>
  <c r="G15" i="5"/>
  <c r="C18" i="6"/>
  <c r="G18" i="5"/>
  <c r="G17" i="5"/>
  <c r="G20" i="5"/>
  <c r="G13" i="6" l="1"/>
  <c r="G16" i="6"/>
  <c r="G12" i="6"/>
  <c r="G11" i="6"/>
  <c r="D5" i="7"/>
  <c r="D23" i="7" s="1"/>
  <c r="C5" i="7"/>
  <c r="C21" i="7" s="1"/>
  <c r="G19" i="6"/>
  <c r="G24" i="6"/>
  <c r="G28" i="6"/>
  <c r="G21" i="6"/>
  <c r="G18" i="6"/>
  <c r="G22" i="6"/>
  <c r="G29" i="6"/>
  <c r="G25" i="6"/>
  <c r="G27" i="6"/>
  <c r="G14" i="6"/>
  <c r="G15" i="6"/>
  <c r="G23" i="6"/>
  <c r="G26" i="6"/>
  <c r="D15" i="7" l="1"/>
  <c r="D22" i="7"/>
  <c r="D25" i="7"/>
  <c r="C12" i="7"/>
  <c r="D27" i="7"/>
  <c r="D12" i="7"/>
  <c r="D19" i="7"/>
  <c r="C15" i="7"/>
  <c r="C22" i="7"/>
  <c r="C28" i="7"/>
  <c r="D17" i="7"/>
  <c r="D20" i="7"/>
  <c r="C14" i="7"/>
  <c r="C25" i="7"/>
  <c r="D16" i="7"/>
  <c r="C18" i="7"/>
  <c r="C16" i="7"/>
  <c r="D14" i="7"/>
  <c r="C29" i="7"/>
  <c r="D18" i="7"/>
  <c r="C24" i="7"/>
  <c r="D11" i="7"/>
  <c r="C13" i="7"/>
  <c r="D29" i="7"/>
  <c r="D24" i="7"/>
  <c r="D13" i="7"/>
  <c r="C17" i="7"/>
  <c r="C20" i="7"/>
  <c r="C26" i="7"/>
  <c r="D28" i="7"/>
  <c r="C11" i="7"/>
  <c r="D26" i="7"/>
  <c r="C23" i="7"/>
  <c r="E23" i="7" s="1"/>
  <c r="D17" i="8" s="1"/>
  <c r="E17" i="8" s="1"/>
  <c r="C27" i="7"/>
  <c r="D21" i="7"/>
  <c r="E21" i="7" s="1"/>
  <c r="D7" i="8" s="1"/>
  <c r="E7" i="8" s="1"/>
  <c r="C19" i="7"/>
  <c r="E28" i="7" l="1"/>
  <c r="D21" i="8" s="1"/>
  <c r="E21" i="8" s="1"/>
  <c r="E15" i="7"/>
  <c r="D10" i="8" s="1"/>
  <c r="E10" i="8" s="1"/>
  <c r="E12" i="7"/>
  <c r="D18" i="8" s="1"/>
  <c r="E18" i="8" s="1"/>
  <c r="E22" i="7"/>
  <c r="D23" i="8" s="1"/>
  <c r="E23" i="8" s="1"/>
  <c r="E25" i="7"/>
  <c r="D12" i="8" s="1"/>
  <c r="E12" i="8" s="1"/>
  <c r="F22" i="7"/>
  <c r="E19" i="7"/>
  <c r="D14" i="8" s="1"/>
  <c r="E14" i="8" s="1"/>
  <c r="E14" i="7"/>
  <c r="D11" i="8" s="1"/>
  <c r="E11" i="8" s="1"/>
  <c r="E29" i="7"/>
  <c r="D8" i="8" s="1"/>
  <c r="E8" i="8" s="1"/>
  <c r="E11" i="7"/>
  <c r="D19" i="8" s="1"/>
  <c r="E19" i="8" s="1"/>
  <c r="E20" i="7"/>
  <c r="D13" i="8" s="1"/>
  <c r="E13" i="8" s="1"/>
  <c r="E17" i="7"/>
  <c r="D16" i="8" s="1"/>
  <c r="E16" i="8" s="1"/>
  <c r="F23" i="7"/>
  <c r="E27" i="7"/>
  <c r="D9" i="8" s="1"/>
  <c r="E9" i="8" s="1"/>
  <c r="E18" i="7"/>
  <c r="D5" i="8" s="1"/>
  <c r="E5" i="8" s="1"/>
  <c r="E16" i="7"/>
  <c r="D6" i="8" s="1"/>
  <c r="E6" i="8" s="1"/>
  <c r="E26" i="7"/>
  <c r="D20" i="8" s="1"/>
  <c r="E20" i="8" s="1"/>
  <c r="E13" i="7"/>
  <c r="D15" i="8" s="1"/>
  <c r="E15" i="8" s="1"/>
  <c r="E24" i="7"/>
  <c r="D22" i="8" s="1"/>
  <c r="E22" i="8" s="1"/>
  <c r="F21" i="7"/>
  <c r="F15" i="7" l="1"/>
  <c r="F12" i="7"/>
  <c r="F28" i="7"/>
  <c r="F25" i="7"/>
  <c r="F14" i="7"/>
  <c r="F19" i="7"/>
  <c r="F11" i="7"/>
  <c r="F20" i="7"/>
  <c r="F29" i="7"/>
  <c r="F13" i="7"/>
  <c r="F17" i="7"/>
  <c r="F16" i="7"/>
  <c r="F27" i="7"/>
  <c r="F18" i="7"/>
  <c r="F24" i="7"/>
  <c r="F26" i="7"/>
</calcChain>
</file>

<file path=xl/sharedStrings.xml><?xml version="1.0" encoding="utf-8"?>
<sst xmlns="http://schemas.openxmlformats.org/spreadsheetml/2006/main" count="216" uniqueCount="137">
  <si>
    <t>Panduan Teori &amp; Cara Menghitung TOPSIS</t>
  </si>
  <si>
    <t>Metode TOPSIS (Technique for Order of Preference by Similarity to Ideal Solution)</t>
  </si>
  <si>
    <t>1. Konsep Dasar TOPSIS</t>
  </si>
  <si>
    <t>TOPSIS didasarkan pada konsep bahwa alternatif terpilih harus memiliki jarak terdekat dari solusi ideal positif (A+) dan jarak terjauh dari solusi ideal negatif (A-). Solusi ideal positif mewakili nilai terbaik dari setiap kriteria, sedangkan solusi ideal negatif mewakili nilai terburuk dari setiap kriteria.</t>
  </si>
  <si>
    <t>2. Tahapan Perhitungan &amp; Rumus Matematis</t>
  </si>
  <si>
    <t>Tahap 1: Skor Kriteria</t>
  </si>
  <si>
    <t>Mengubah kriteria mentah menjadi skor skala 1-10:
- Kriteria Benefit (Semakin tinggi semakin baik, misal ISO, AF, Sensor):
  Skor = (Nilai Alternatif / Nilai Maksimum Kriteria) * 10
- Kriteria Cost (Semakin rendah semakin baik, misal Price):
  Skor = ((Nilai Maksimum - Nilai Alternatif) / (Nilai Maksimum - Nilai Minimum)) * 10</t>
  </si>
  <si>
    <t>Tahap 2: Normalisasi Euclidean</t>
  </si>
  <si>
    <t>Menghitung normalisasi (r_ij) agar skala semua kriteria seragam (0 hingga 1):
  r_ij = x_ij / sqrt( sum( x_ij^2 ) )
Dimana pembagi adalah akar dari jumlah kuadrat seluruh alternatif pada kolom kriteria tersebut.</t>
  </si>
  <si>
    <t>Tahap 3: Matriks Ternormalisasi Terbobot</t>
  </si>
  <si>
    <t>Kalikan hasil normalisasi dengan bobot kriteria (w_j) masing-masing:
  y_ij = w_j * r_ij
Pada skenario Outdoor Day, bobot kriteria adalah:
- Price (Cost): 0.30  |  ISO (Benefit): 0.15  |  AF Point (Benefit): 0.25  |  Sensor Score (Benefit): 0.30</t>
  </si>
  <si>
    <t>Tahap 4: Solusi Ideal Positif &amp; Negatif</t>
  </si>
  <si>
    <t>Menentukan target acuan terbaik (A+) dan terburuk (A-):
- Solusi Ideal Positif (A+):
  Cari nilai Maksimum untuk Benefit, dan nilai Minimum untuk Cost.
- Solusi Ideal Negatif (A-):
  Cari nilai Minimum untuk Benefit, dan nilai Maksimum untuk Cost.</t>
  </si>
  <si>
    <t>Tahap 5: Jarak Solusi Ideal (Euclidean Distance)</t>
  </si>
  <si>
    <t>Mengukur seberapa jauh suatu alternatif dari titik ideal:
- Jarak ke Ideal Positif: D+ = sqrt( sum( (y_ij - A+_j)^2 ) )
- Jarak ke Ideal Negatif: D- = sqrt( sum( (y_ij - A-_j)^2 ) )</t>
  </si>
  <si>
    <t>Tahap 6: Nilai Preferensi (V)</t>
  </si>
  <si>
    <t>Menghitung kedekatan relatif terhadap solusi ideal:
  V = D- / (D+ + D-)
Nilai V berada di antara 0 dan 1. Nilai V tertinggi menunjukkan alternatif terbaik yang direkomendasikan.</t>
  </si>
  <si>
    <t>Perhitungan TOPSIS Outdoor Day (Siang) - Daftar Lembar Kerja</t>
  </si>
  <si>
    <t>Excel ini dirancang secara dinamis menggunakan rumus-rumus bawaan Excel (SUMSQ, SQRT, MIN, MAX, VLOOKUP, dll.).</t>
  </si>
  <si>
    <t>Tahap</t>
  </si>
  <si>
    <t>Nama Sheet</t>
  </si>
  <si>
    <t>Deskripsi Konten</t>
  </si>
  <si>
    <t>Teori</t>
  </si>
  <si>
    <t>Penjelasan Rumus</t>
  </si>
  <si>
    <t>Penjelasan konsep dasar TOPSIS, rumus matematis, dan cara menghitung lengkap.</t>
  </si>
  <si>
    <t>1</t>
  </si>
  <si>
    <t>Data Awal</t>
  </si>
  <si>
    <t>Data mentah alternatif kamera beserta parameter global (Min, Max) yang dihitung otomatis.</t>
  </si>
  <si>
    <t>2</t>
  </si>
  <si>
    <t>Skor Kriteria</t>
  </si>
  <si>
    <t>Mengubah data mentah menjadi skor (skala 1-10) untuk kriteria Price, ISO, AF, dan Sensor. Menghasilkan Matriks Keputusan X.</t>
  </si>
  <si>
    <t>3</t>
  </si>
  <si>
    <t>Normalisasi</t>
  </si>
  <si>
    <t>Melakukan normalisasi Euclidean dengan membagi skor dengan akar jumlah kuadrat pada kriteria tersebut.</t>
  </si>
  <si>
    <t>4</t>
  </si>
  <si>
    <t>Terbobot</t>
  </si>
  <si>
    <t>Mengalikan matriks ternormalisasi dengan bobot kriteria skenario Outdoor Day.</t>
  </si>
  <si>
    <t>5</t>
  </si>
  <si>
    <t>Ideal &amp; Jarak</t>
  </si>
  <si>
    <t>Menentukan Solusi Ideal Positif (A+) dan Negatif (A-), serta menghitung jarak Euclidean D+ dan D-.</t>
  </si>
  <si>
    <t>6</t>
  </si>
  <si>
    <t>Ranking</t>
  </si>
  <si>
    <t>Menghitung nilai preferensi V = D- / (D+ + D-) dan mengurutkan peringkat alternatif berdasarkan nilai tertinggi.</t>
  </si>
  <si>
    <t>Data Awal Alternatif Kamera</t>
  </si>
  <si>
    <t>Skenario: Outdoor Day (Siang) | Berisi data mentah dan nilai batas global</t>
  </si>
  <si>
    <t>Parameter Global</t>
  </si>
  <si>
    <t>Nilai</t>
  </si>
  <si>
    <t>Keterangan Rumus Excel</t>
  </si>
  <si>
    <t>Min Price</t>
  </si>
  <si>
    <t>Menghitung harga sewa terendah: =MIN(D11:D29)</t>
  </si>
  <si>
    <t>Max Price</t>
  </si>
  <si>
    <t>Menghitung harga sewa tertinggi: =MAX(D11:D29)</t>
  </si>
  <si>
    <t>Max ISO</t>
  </si>
  <si>
    <t>Menghitung batas ISO tertinggi: =MAX(E11:E29)</t>
  </si>
  <si>
    <t>Max AF Point</t>
  </si>
  <si>
    <t>Menghitung titik AF terbanyak: =MAX(F11:F29)</t>
  </si>
  <si>
    <t>No</t>
  </si>
  <si>
    <t>Nama Kamera</t>
  </si>
  <si>
    <t>Merek</t>
  </si>
  <si>
    <t>Price (Cost)</t>
  </si>
  <si>
    <t>ISO (Benefit)</t>
  </si>
  <si>
    <t>AF Point (Benefit)</t>
  </si>
  <si>
    <t>Sensor Score (Benefit)</t>
  </si>
  <si>
    <t>Keterangan</t>
  </si>
  <si>
    <t>Canon M10</t>
  </si>
  <si>
    <t>Canon</t>
  </si>
  <si>
    <t>Data mentah sebelum dihitung TOPSIS.</t>
  </si>
  <si>
    <t>Sony A5000</t>
  </si>
  <si>
    <t>Sony</t>
  </si>
  <si>
    <t>Canon M3</t>
  </si>
  <si>
    <t>Sony A6000</t>
  </si>
  <si>
    <t>Canon M50</t>
  </si>
  <si>
    <t>Sony A6300</t>
  </si>
  <si>
    <t>Fujifilm XA3</t>
  </si>
  <si>
    <t>Fujifilm</t>
  </si>
  <si>
    <t>Sony A6400</t>
  </si>
  <si>
    <t>Fujifilm XA5</t>
  </si>
  <si>
    <t>Nikon J5</t>
  </si>
  <si>
    <t>Nikon</t>
  </si>
  <si>
    <t>Fujifilm XT20</t>
  </si>
  <si>
    <t>Canon 500D</t>
  </si>
  <si>
    <t>Canon 60D</t>
  </si>
  <si>
    <t>Canon 1100D</t>
  </si>
  <si>
    <t>Canon 80D</t>
  </si>
  <si>
    <t>Canon 600D</t>
  </si>
  <si>
    <t>Canon 6D</t>
  </si>
  <si>
    <t>Canon 550D</t>
  </si>
  <si>
    <t>Canon 5D Mark III</t>
  </si>
  <si>
    <t>Pembentukan Skor Kriteria</t>
  </si>
  <si>
    <t>Langkah 1: Mengubah spesifikasi mentah menjadi skor kriteria X (skala 1-10)</t>
  </si>
  <si>
    <t>Price Score</t>
  </si>
  <si>
    <t>ISO Score</t>
  </si>
  <si>
    <t>AF Score</t>
  </si>
  <si>
    <t>Sensor Score</t>
  </si>
  <si>
    <t>Keterangan / Representasi Matriks X</t>
  </si>
  <si>
    <t>Normalisasi Matriks Keputusan</t>
  </si>
  <si>
    <t>Langkah 2: Membagi nilai skor dengan akar jumlah kuadrat pada kriteria yang sama (Euclidean)</t>
  </si>
  <si>
    <t>Penyebut Kolom (r_divider)</t>
  </si>
  <si>
    <t>Nilai Akar (SQRT)</t>
  </si>
  <si>
    <t>sqrt(sum(Price Score^2))</t>
  </si>
  <si>
    <t>Akar jumlah kuadrat kolom Price: =SQRT(SUMSQ('Skor Kriteria'!C5:C23))</t>
  </si>
  <si>
    <t>sqrt(sum(ISO Score^2))</t>
  </si>
  <si>
    <t>Akar jumlah kuadrat kolom ISO: =SQRT(SUMSQ('Skor Kriteria'!D5:D23))</t>
  </si>
  <si>
    <t>sqrt(sum(AF Score^2))</t>
  </si>
  <si>
    <t>Akar jumlah kuadrat kolom AF: =SQRT(SUMSQ('Skor Kriteria'!E5:E23))</t>
  </si>
  <si>
    <t>sqrt(sum(Sensor Score^2))</t>
  </si>
  <si>
    <t>Akar jumlah kuadrat kolom Sensor: =SQRT(SUMSQ('Skor Kriteria'!F5:F23))</t>
  </si>
  <si>
    <t>r1 Price</t>
  </si>
  <si>
    <t>r2 ISO</t>
  </si>
  <si>
    <t>r3 AF</t>
  </si>
  <si>
    <t>r4 Sensor</t>
  </si>
  <si>
    <t>Matriks Ternormalisasi r</t>
  </si>
  <si>
    <t>Normalisasi Terbobot (Weighted Normalized Decision Matrix)</t>
  </si>
  <si>
    <t>Langkah 3: Mengalikan matriks ternormalisasi r dengan bobot kriteria skenario Outdoor Day</t>
  </si>
  <si>
    <t>Kriteria</t>
  </si>
  <si>
    <t>Bobot (w)</t>
  </si>
  <si>
    <t>Jenis Kriteria</t>
  </si>
  <si>
    <t>cost</t>
  </si>
  <si>
    <t>benefit</t>
  </si>
  <si>
    <t>y1 Price</t>
  </si>
  <si>
    <t>y2 ISO</t>
  </si>
  <si>
    <t>y3 AF</t>
  </si>
  <si>
    <t>y4 Sensor</t>
  </si>
  <si>
    <t>Matriks Terbobot y</t>
  </si>
  <si>
    <t>Solusi Ideal dan Jarak Euclidean</t>
  </si>
  <si>
    <t>Langkah 4 &amp; 5: Menentukan solusi ideal A+/A- serta menghitung jarak Euclidean D+/D- dari setiap alternatif</t>
  </si>
  <si>
    <t>Jenis</t>
  </si>
  <si>
    <t>Solusi Ideal Positif (A+)</t>
  </si>
  <si>
    <t>Solusi Ideal Negatif (A-)</t>
  </si>
  <si>
    <t>Jarak Ideal Positif (D+)</t>
  </si>
  <si>
    <t>Jarak Ideal Negatif (D-)</t>
  </si>
  <si>
    <t>Nilai Preferensi (V)</t>
  </si>
  <si>
    <t>Keterangan Hasil Jarak</t>
  </si>
  <si>
    <t>Ranking Akhir Alternatif Kamera</t>
  </si>
  <si>
    <t>Langkah 6: Diurutkan berdasarkan Nilai Preferensi tertinggi. Klik nilai untuk melihat formula dinamis.</t>
  </si>
  <si>
    <t>Rank</t>
  </si>
  <si>
    <t>Interpretasi Hasil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</si>
</sst>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R\p\ #,##0"/>
    <numFmt numFmtId="165" formatCode="0.0000"/>
    <numFmt numFmtId="166" formatCode="0.000000"/>
  </numFmts>
  <fonts count="7" x14ac:knownFonts="1">
    <font>
      <sz val="11"/>
      <color theme="1"/>
      <name val="Calibri"/>
      <family val="2"/>
      <scheme val="minor"/>
    </font>
    <font>
      <b/>
      <sz val="16"/>
      <color rgb="FF1F4E78"/>
      <name val="Segoe UI"/>
    </font>
    <font>
      <i/>
      <sz val="11"/>
      <color rgb="FF595959"/>
      <name val="Segoe UI"/>
    </font>
    <font>
      <b/>
      <sz val="13"/>
      <color rgb="FF2C3E50"/>
      <name val="Segoe UI"/>
    </font>
    <font>
      <sz val="11"/>
      <name val="Segoe UI"/>
    </font>
    <font>
      <b/>
      <sz val="11"/>
      <name val="Segoe UI"/>
    </font>
    <font>
      <b/>
      <sz val="11"/>
      <color rgb="FFFFFFFF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1F4E78"/>
        <bgColor rgb="FF1F4E78"/>
      </patternFill>
    </fill>
    <fill>
      <patternFill patternType="solid">
        <fgColor rgb="FFFFFFFF"/>
        <bgColor rgb="FFFFFFFF"/>
      </patternFill>
    </fill>
    <fill>
      <patternFill patternType="solid">
        <fgColor rgb="FFF9FAFB"/>
        <bgColor rgb="FFF9FAFB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1F4E78"/>
      </left>
      <right style="thin">
        <color rgb="FF1F4E78"/>
      </right>
      <top style="medium">
        <color rgb="FF1F4E78"/>
      </top>
      <bottom style="medium">
        <color rgb="FF1F4E7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1" xfId="0" applyFont="1" applyFill="1" applyBorder="1"/>
    <xf numFmtId="0" fontId="0" fillId="0" borderId="1" xfId="0" applyBorder="1"/>
    <xf numFmtId="0" fontId="6" fillId="3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/>
    <xf numFmtId="0" fontId="5" fillId="0" borderId="1" xfId="0" applyFont="1" applyBorder="1"/>
    <xf numFmtId="164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/>
    <xf numFmtId="3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164" fontId="4" fillId="5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165" fontId="4" fillId="4" borderId="1" xfId="0" applyNumberFormat="1" applyFont="1" applyFill="1" applyBorder="1" applyAlignment="1">
      <alignment horizontal="right" vertical="center"/>
    </xf>
    <xf numFmtId="165" fontId="4" fillId="5" borderId="1" xfId="0" applyNumberFormat="1" applyFont="1" applyFill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166" fontId="4" fillId="4" borderId="1" xfId="0" applyNumberFormat="1" applyFont="1" applyFill="1" applyBorder="1" applyAlignment="1">
      <alignment horizontal="right" vertical="center"/>
    </xf>
    <xf numFmtId="166" fontId="4" fillId="5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wrapText="1"/>
    </xf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workbookViewId="0">
      <selection activeCell="K11" sqref="K11"/>
    </sheetView>
  </sheetViews>
  <sheetFormatPr baseColWidth="10" defaultColWidth="8.83203125" defaultRowHeight="15" x14ac:dyDescent="0.2"/>
  <cols>
    <col min="1" max="1" width="30" customWidth="1"/>
    <col min="2" max="6" width="15" customWidth="1"/>
    <col min="7" max="7" width="20" customWidth="1"/>
  </cols>
  <sheetData>
    <row r="1" spans="1:7" ht="23" x14ac:dyDescent="0.3">
      <c r="A1" s="1" t="s">
        <v>0</v>
      </c>
    </row>
    <row r="2" spans="1:7" ht="16" x14ac:dyDescent="0.25">
      <c r="A2" s="2" t="s">
        <v>1</v>
      </c>
    </row>
    <row r="4" spans="1:7" ht="20" x14ac:dyDescent="0.3">
      <c r="A4" s="3" t="s">
        <v>2</v>
      </c>
    </row>
    <row r="5" spans="1:7" ht="40" customHeight="1" x14ac:dyDescent="0.25">
      <c r="A5" s="31" t="s">
        <v>3</v>
      </c>
      <c r="B5" s="32"/>
      <c r="C5" s="32"/>
      <c r="D5" s="32"/>
      <c r="E5" s="32"/>
      <c r="F5" s="32"/>
      <c r="G5" s="32"/>
    </row>
    <row r="7" spans="1:7" ht="20" x14ac:dyDescent="0.3">
      <c r="A7" s="3" t="s">
        <v>4</v>
      </c>
    </row>
    <row r="8" spans="1:7" ht="16" x14ac:dyDescent="0.25">
      <c r="A8" s="4" t="s">
        <v>5</v>
      </c>
      <c r="B8" s="33" t="s">
        <v>6</v>
      </c>
      <c r="C8" s="34"/>
      <c r="D8" s="34"/>
      <c r="E8" s="34"/>
      <c r="F8" s="34"/>
      <c r="G8" s="34"/>
    </row>
    <row r="9" spans="1:7" x14ac:dyDescent="0.2">
      <c r="A9" s="5"/>
      <c r="B9" s="34"/>
      <c r="C9" s="34"/>
      <c r="D9" s="34"/>
      <c r="E9" s="34"/>
      <c r="F9" s="34"/>
      <c r="G9" s="34"/>
    </row>
    <row r="10" spans="1:7" x14ac:dyDescent="0.2">
      <c r="A10" s="5"/>
      <c r="B10" s="34"/>
      <c r="C10" s="34"/>
      <c r="D10" s="34"/>
      <c r="E10" s="34"/>
      <c r="F10" s="34"/>
      <c r="G10" s="34"/>
    </row>
    <row r="12" spans="1:7" ht="16" x14ac:dyDescent="0.25">
      <c r="A12" s="4" t="s">
        <v>7</v>
      </c>
      <c r="B12" s="33" t="s">
        <v>8</v>
      </c>
      <c r="C12" s="34"/>
      <c r="D12" s="34"/>
      <c r="E12" s="34"/>
      <c r="F12" s="34"/>
      <c r="G12" s="34"/>
    </row>
    <row r="13" spans="1:7" x14ac:dyDescent="0.2">
      <c r="A13" s="5"/>
      <c r="B13" s="34"/>
      <c r="C13" s="34"/>
      <c r="D13" s="34"/>
      <c r="E13" s="34"/>
      <c r="F13" s="34"/>
      <c r="G13" s="34"/>
    </row>
    <row r="14" spans="1:7" x14ac:dyDescent="0.2">
      <c r="A14" s="5"/>
      <c r="B14" s="34"/>
      <c r="C14" s="34"/>
      <c r="D14" s="34"/>
      <c r="E14" s="34"/>
      <c r="F14" s="34"/>
      <c r="G14" s="34"/>
    </row>
    <row r="16" spans="1:7" ht="16" x14ac:dyDescent="0.25">
      <c r="A16" s="4" t="s">
        <v>9</v>
      </c>
      <c r="B16" s="33" t="s">
        <v>10</v>
      </c>
      <c r="C16" s="34"/>
      <c r="D16" s="34"/>
      <c r="E16" s="34"/>
      <c r="F16" s="34"/>
      <c r="G16" s="34"/>
    </row>
    <row r="17" spans="1:7" x14ac:dyDescent="0.2">
      <c r="A17" s="5"/>
      <c r="B17" s="34"/>
      <c r="C17" s="34"/>
      <c r="D17" s="34"/>
      <c r="E17" s="34"/>
      <c r="F17" s="34"/>
      <c r="G17" s="34"/>
    </row>
    <row r="18" spans="1:7" x14ac:dyDescent="0.2">
      <c r="A18" s="5"/>
      <c r="B18" s="34"/>
      <c r="C18" s="34"/>
      <c r="D18" s="34"/>
      <c r="E18" s="34"/>
      <c r="F18" s="34"/>
      <c r="G18" s="34"/>
    </row>
    <row r="20" spans="1:7" ht="16" x14ac:dyDescent="0.25">
      <c r="A20" s="4" t="s">
        <v>11</v>
      </c>
      <c r="B20" s="33" t="s">
        <v>12</v>
      </c>
      <c r="C20" s="34"/>
      <c r="D20" s="34"/>
      <c r="E20" s="34"/>
      <c r="F20" s="34"/>
      <c r="G20" s="34"/>
    </row>
    <row r="21" spans="1:7" x14ac:dyDescent="0.2">
      <c r="A21" s="5"/>
      <c r="B21" s="34"/>
      <c r="C21" s="34"/>
      <c r="D21" s="34"/>
      <c r="E21" s="34"/>
      <c r="F21" s="34"/>
      <c r="G21" s="34"/>
    </row>
    <row r="22" spans="1:7" x14ac:dyDescent="0.2">
      <c r="A22" s="5"/>
      <c r="B22" s="34"/>
      <c r="C22" s="34"/>
      <c r="D22" s="34"/>
      <c r="E22" s="34"/>
      <c r="F22" s="34"/>
      <c r="G22" s="34"/>
    </row>
    <row r="24" spans="1:7" ht="16" x14ac:dyDescent="0.25">
      <c r="A24" s="4" t="s">
        <v>13</v>
      </c>
      <c r="B24" s="33" t="s">
        <v>14</v>
      </c>
      <c r="C24" s="34"/>
      <c r="D24" s="34"/>
      <c r="E24" s="34"/>
      <c r="F24" s="34"/>
      <c r="G24" s="34"/>
    </row>
    <row r="25" spans="1:7" x14ac:dyDescent="0.2">
      <c r="A25" s="5"/>
      <c r="B25" s="34"/>
      <c r="C25" s="34"/>
      <c r="D25" s="34"/>
      <c r="E25" s="34"/>
      <c r="F25" s="34"/>
      <c r="G25" s="34"/>
    </row>
    <row r="26" spans="1:7" x14ac:dyDescent="0.2">
      <c r="A26" s="5"/>
      <c r="B26" s="34"/>
      <c r="C26" s="34"/>
      <c r="D26" s="34"/>
      <c r="E26" s="34"/>
      <c r="F26" s="34"/>
      <c r="G26" s="34"/>
    </row>
    <row r="28" spans="1:7" ht="16" x14ac:dyDescent="0.25">
      <c r="A28" s="4" t="s">
        <v>15</v>
      </c>
      <c r="B28" s="33" t="s">
        <v>16</v>
      </c>
      <c r="C28" s="34"/>
      <c r="D28" s="34"/>
      <c r="E28" s="34"/>
      <c r="F28" s="34"/>
      <c r="G28" s="34"/>
    </row>
    <row r="29" spans="1:7" x14ac:dyDescent="0.2">
      <c r="A29" s="5"/>
      <c r="B29" s="34"/>
      <c r="C29" s="34"/>
      <c r="D29" s="34"/>
      <c r="E29" s="34"/>
      <c r="F29" s="34"/>
      <c r="G29" s="34"/>
    </row>
    <row r="30" spans="1:7" x14ac:dyDescent="0.2">
      <c r="A30" s="5"/>
      <c r="B30" s="34"/>
      <c r="C30" s="34"/>
      <c r="D30" s="34"/>
      <c r="E30" s="34"/>
      <c r="F30" s="34"/>
      <c r="G30" s="34"/>
    </row>
  </sheetData>
  <mergeCells count="7">
    <mergeCell ref="A5:G5"/>
    <mergeCell ref="B8:G10"/>
    <mergeCell ref="B24:G26"/>
    <mergeCell ref="B16:G18"/>
    <mergeCell ref="B28:G30"/>
    <mergeCell ref="B20:G22"/>
    <mergeCell ref="B12:G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workbookViewId="0"/>
  </sheetViews>
  <sheetFormatPr baseColWidth="10" defaultColWidth="8.83203125" defaultRowHeight="15" x14ac:dyDescent="0.2"/>
  <cols>
    <col min="1" max="1" width="115" customWidth="1"/>
    <col min="2" max="2" width="20" customWidth="1"/>
    <col min="3" max="3" width="127" customWidth="1"/>
  </cols>
  <sheetData>
    <row r="1" spans="1:3" ht="23" x14ac:dyDescent="0.3">
      <c r="A1" s="1" t="s">
        <v>17</v>
      </c>
    </row>
    <row r="2" spans="1:3" ht="16" x14ac:dyDescent="0.25">
      <c r="A2" s="2" t="s">
        <v>18</v>
      </c>
    </row>
    <row r="4" spans="1:3" ht="16" x14ac:dyDescent="0.2">
      <c r="A4" s="6" t="s">
        <v>19</v>
      </c>
      <c r="B4" s="6" t="s">
        <v>20</v>
      </c>
      <c r="C4" s="6" t="s">
        <v>21</v>
      </c>
    </row>
    <row r="5" spans="1:3" ht="16" x14ac:dyDescent="0.25">
      <c r="A5" s="7" t="s">
        <v>22</v>
      </c>
      <c r="B5" s="8" t="s">
        <v>23</v>
      </c>
      <c r="C5" s="9" t="s">
        <v>24</v>
      </c>
    </row>
    <row r="6" spans="1:3" ht="16" x14ac:dyDescent="0.25">
      <c r="A6" s="7" t="s">
        <v>25</v>
      </c>
      <c r="B6" s="8" t="s">
        <v>26</v>
      </c>
      <c r="C6" s="9" t="s">
        <v>27</v>
      </c>
    </row>
    <row r="7" spans="1:3" ht="16" x14ac:dyDescent="0.25">
      <c r="A7" s="7" t="s">
        <v>28</v>
      </c>
      <c r="B7" s="8" t="s">
        <v>29</v>
      </c>
      <c r="C7" s="9" t="s">
        <v>30</v>
      </c>
    </row>
    <row r="8" spans="1:3" ht="16" x14ac:dyDescent="0.25">
      <c r="A8" s="7" t="s">
        <v>31</v>
      </c>
      <c r="B8" s="8" t="s">
        <v>32</v>
      </c>
      <c r="C8" s="9" t="s">
        <v>33</v>
      </c>
    </row>
    <row r="9" spans="1:3" ht="16" x14ac:dyDescent="0.25">
      <c r="A9" s="7" t="s">
        <v>34</v>
      </c>
      <c r="B9" s="8" t="s">
        <v>35</v>
      </c>
      <c r="C9" s="9" t="s">
        <v>36</v>
      </c>
    </row>
    <row r="10" spans="1:3" ht="16" x14ac:dyDescent="0.25">
      <c r="A10" s="7" t="s">
        <v>37</v>
      </c>
      <c r="B10" s="8" t="s">
        <v>38</v>
      </c>
      <c r="C10" s="9" t="s">
        <v>39</v>
      </c>
    </row>
    <row r="11" spans="1:3" ht="16" x14ac:dyDescent="0.25">
      <c r="A11" s="7" t="s">
        <v>40</v>
      </c>
      <c r="B11" s="8" t="s">
        <v>41</v>
      </c>
      <c r="C11" s="9" t="s">
        <v>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workbookViewId="0">
      <selection activeCell="E15" sqref="E15"/>
    </sheetView>
  </sheetViews>
  <sheetFormatPr baseColWidth="10" defaultColWidth="8.83203125" defaultRowHeight="15" x14ac:dyDescent="0.2"/>
  <cols>
    <col min="1" max="1" width="77" customWidth="1"/>
    <col min="2" max="2" width="21" customWidth="1"/>
    <col min="3" max="3" width="50" customWidth="1"/>
    <col min="4" max="4" width="16" customWidth="1"/>
    <col min="5" max="5" width="17" customWidth="1"/>
    <col min="6" max="6" width="22" customWidth="1"/>
    <col min="7" max="7" width="26" customWidth="1"/>
    <col min="8" max="8" width="40" customWidth="1"/>
  </cols>
  <sheetData>
    <row r="1" spans="1:8" ht="23" x14ac:dyDescent="0.3">
      <c r="A1" s="1" t="s">
        <v>43</v>
      </c>
    </row>
    <row r="2" spans="1:8" ht="16" x14ac:dyDescent="0.25">
      <c r="A2" s="2" t="s">
        <v>44</v>
      </c>
    </row>
    <row r="4" spans="1:8" ht="16" x14ac:dyDescent="0.25">
      <c r="A4" s="4" t="s">
        <v>45</v>
      </c>
      <c r="B4" s="4" t="s">
        <v>46</v>
      </c>
      <c r="C4" s="4" t="s">
        <v>47</v>
      </c>
    </row>
    <row r="5" spans="1:8" ht="16" x14ac:dyDescent="0.25">
      <c r="A5" s="10" t="s">
        <v>48</v>
      </c>
      <c r="B5" s="11">
        <f>MIN(D11:D29)</f>
        <v>55000</v>
      </c>
      <c r="C5" s="9" t="s">
        <v>49</v>
      </c>
    </row>
    <row r="6" spans="1:8" ht="16" x14ac:dyDescent="0.25">
      <c r="A6" s="10" t="s">
        <v>50</v>
      </c>
      <c r="B6" s="11">
        <f>MAX(D11:D29)</f>
        <v>215000</v>
      </c>
      <c r="C6" s="9" t="s">
        <v>51</v>
      </c>
    </row>
    <row r="7" spans="1:8" ht="16" x14ac:dyDescent="0.25">
      <c r="A7" s="10" t="s">
        <v>52</v>
      </c>
      <c r="B7" s="12">
        <f>MAX(E11:E29)</f>
        <v>102400</v>
      </c>
      <c r="C7" s="9" t="s">
        <v>53</v>
      </c>
    </row>
    <row r="8" spans="1:8" ht="16" x14ac:dyDescent="0.25">
      <c r="A8" s="10" t="s">
        <v>54</v>
      </c>
      <c r="B8" s="12">
        <f>MAX(F11:F29)</f>
        <v>425</v>
      </c>
      <c r="C8" s="9" t="s">
        <v>55</v>
      </c>
    </row>
    <row r="10" spans="1:8" ht="16" x14ac:dyDescent="0.2">
      <c r="A10" s="6" t="s">
        <v>56</v>
      </c>
      <c r="B10" s="6" t="s">
        <v>57</v>
      </c>
      <c r="C10" s="6" t="s">
        <v>58</v>
      </c>
      <c r="D10" s="6" t="s">
        <v>59</v>
      </c>
      <c r="E10" s="6" t="s">
        <v>60</v>
      </c>
      <c r="F10" s="6" t="s">
        <v>61</v>
      </c>
      <c r="G10" s="6" t="s">
        <v>62</v>
      </c>
      <c r="H10" s="6" t="s">
        <v>63</v>
      </c>
    </row>
    <row r="11" spans="1:8" ht="16" x14ac:dyDescent="0.25">
      <c r="A11" s="13">
        <v>1</v>
      </c>
      <c r="B11" s="14" t="s">
        <v>64</v>
      </c>
      <c r="C11" s="14" t="s">
        <v>65</v>
      </c>
      <c r="D11" s="15">
        <v>80000</v>
      </c>
      <c r="E11" s="13">
        <v>25600</v>
      </c>
      <c r="F11" s="13">
        <v>49</v>
      </c>
      <c r="G11" s="13">
        <v>7</v>
      </c>
      <c r="H11" s="16" t="s">
        <v>66</v>
      </c>
    </row>
    <row r="12" spans="1:8" ht="16" x14ac:dyDescent="0.25">
      <c r="A12" s="17">
        <v>2</v>
      </c>
      <c r="B12" s="18" t="s">
        <v>67</v>
      </c>
      <c r="C12" s="18" t="s">
        <v>68</v>
      </c>
      <c r="D12" s="19">
        <v>90000</v>
      </c>
      <c r="E12" s="17">
        <v>25600</v>
      </c>
      <c r="F12" s="17">
        <v>25</v>
      </c>
      <c r="G12" s="17">
        <v>7</v>
      </c>
      <c r="H12" s="20" t="s">
        <v>66</v>
      </c>
    </row>
    <row r="13" spans="1:8" ht="16" x14ac:dyDescent="0.25">
      <c r="A13" s="13">
        <v>3</v>
      </c>
      <c r="B13" s="14" t="s">
        <v>69</v>
      </c>
      <c r="C13" s="14" t="s">
        <v>65</v>
      </c>
      <c r="D13" s="15">
        <v>100000</v>
      </c>
      <c r="E13" s="13">
        <v>25600</v>
      </c>
      <c r="F13" s="13">
        <v>49</v>
      </c>
      <c r="G13" s="13">
        <v>7</v>
      </c>
      <c r="H13" s="16" t="s">
        <v>66</v>
      </c>
    </row>
    <row r="14" spans="1:8" ht="16" x14ac:dyDescent="0.25">
      <c r="A14" s="17">
        <v>4</v>
      </c>
      <c r="B14" s="18" t="s">
        <v>70</v>
      </c>
      <c r="C14" s="18" t="s">
        <v>68</v>
      </c>
      <c r="D14" s="19">
        <v>110000</v>
      </c>
      <c r="E14" s="17">
        <v>25600</v>
      </c>
      <c r="F14" s="17">
        <v>179</v>
      </c>
      <c r="G14" s="17">
        <v>7</v>
      </c>
      <c r="H14" s="20" t="s">
        <v>66</v>
      </c>
    </row>
    <row r="15" spans="1:8" ht="16" x14ac:dyDescent="0.25">
      <c r="A15" s="13">
        <v>5</v>
      </c>
      <c r="B15" s="14" t="s">
        <v>71</v>
      </c>
      <c r="C15" s="14" t="s">
        <v>65</v>
      </c>
      <c r="D15" s="15">
        <v>130000</v>
      </c>
      <c r="E15" s="13">
        <v>51200</v>
      </c>
      <c r="F15" s="13">
        <v>143</v>
      </c>
      <c r="G15" s="13">
        <v>7</v>
      </c>
      <c r="H15" s="16" t="s">
        <v>66</v>
      </c>
    </row>
    <row r="16" spans="1:8" ht="16" x14ac:dyDescent="0.25">
      <c r="A16" s="17">
        <v>6</v>
      </c>
      <c r="B16" s="18" t="s">
        <v>72</v>
      </c>
      <c r="C16" s="18" t="s">
        <v>68</v>
      </c>
      <c r="D16" s="19">
        <v>155000</v>
      </c>
      <c r="E16" s="17">
        <v>51200</v>
      </c>
      <c r="F16" s="17">
        <v>425</v>
      </c>
      <c r="G16" s="17">
        <v>7</v>
      </c>
      <c r="H16" s="20" t="s">
        <v>66</v>
      </c>
    </row>
    <row r="17" spans="1:8" ht="16" x14ac:dyDescent="0.25">
      <c r="A17" s="13">
        <v>7</v>
      </c>
      <c r="B17" s="14" t="s">
        <v>73</v>
      </c>
      <c r="C17" s="14" t="s">
        <v>74</v>
      </c>
      <c r="D17" s="15">
        <v>80000</v>
      </c>
      <c r="E17" s="13">
        <v>25600</v>
      </c>
      <c r="F17" s="13">
        <v>77</v>
      </c>
      <c r="G17" s="13">
        <v>7</v>
      </c>
      <c r="H17" s="16" t="s">
        <v>66</v>
      </c>
    </row>
    <row r="18" spans="1:8" ht="16" x14ac:dyDescent="0.25">
      <c r="A18" s="17">
        <v>8</v>
      </c>
      <c r="B18" s="18" t="s">
        <v>75</v>
      </c>
      <c r="C18" s="18" t="s">
        <v>68</v>
      </c>
      <c r="D18" s="19">
        <v>185000</v>
      </c>
      <c r="E18" s="17">
        <v>51200</v>
      </c>
      <c r="F18" s="17">
        <v>425</v>
      </c>
      <c r="G18" s="17">
        <v>7</v>
      </c>
      <c r="H18" s="20" t="s">
        <v>66</v>
      </c>
    </row>
    <row r="19" spans="1:8" ht="16" x14ac:dyDescent="0.25">
      <c r="A19" s="13">
        <v>9</v>
      </c>
      <c r="B19" s="14" t="s">
        <v>76</v>
      </c>
      <c r="C19" s="14" t="s">
        <v>74</v>
      </c>
      <c r="D19" s="15">
        <v>90000</v>
      </c>
      <c r="E19" s="13">
        <v>25600</v>
      </c>
      <c r="F19" s="13">
        <v>77</v>
      </c>
      <c r="G19" s="13">
        <v>7</v>
      </c>
      <c r="H19" s="16" t="s">
        <v>66</v>
      </c>
    </row>
    <row r="20" spans="1:8" ht="16" x14ac:dyDescent="0.25">
      <c r="A20" s="17">
        <v>10</v>
      </c>
      <c r="B20" s="18" t="s">
        <v>77</v>
      </c>
      <c r="C20" s="18" t="s">
        <v>78</v>
      </c>
      <c r="D20" s="19">
        <v>75000</v>
      </c>
      <c r="E20" s="17">
        <v>12800</v>
      </c>
      <c r="F20" s="17">
        <v>171</v>
      </c>
      <c r="G20" s="17">
        <v>5</v>
      </c>
      <c r="H20" s="20" t="s">
        <v>66</v>
      </c>
    </row>
    <row r="21" spans="1:8" ht="16" x14ac:dyDescent="0.25">
      <c r="A21" s="13">
        <v>11</v>
      </c>
      <c r="B21" s="14" t="s">
        <v>79</v>
      </c>
      <c r="C21" s="14" t="s">
        <v>74</v>
      </c>
      <c r="D21" s="15">
        <v>145000</v>
      </c>
      <c r="E21" s="13">
        <v>51200</v>
      </c>
      <c r="F21" s="13">
        <v>325</v>
      </c>
      <c r="G21" s="13">
        <v>7</v>
      </c>
      <c r="H21" s="16" t="s">
        <v>66</v>
      </c>
    </row>
    <row r="22" spans="1:8" ht="16" x14ac:dyDescent="0.25">
      <c r="A22" s="17">
        <v>12</v>
      </c>
      <c r="B22" s="18" t="s">
        <v>80</v>
      </c>
      <c r="C22" s="18" t="s">
        <v>65</v>
      </c>
      <c r="D22" s="19">
        <v>55000</v>
      </c>
      <c r="E22" s="17">
        <v>12800</v>
      </c>
      <c r="F22" s="17">
        <v>9</v>
      </c>
      <c r="G22" s="17">
        <v>7</v>
      </c>
      <c r="H22" s="20" t="s">
        <v>66</v>
      </c>
    </row>
    <row r="23" spans="1:8" ht="16" x14ac:dyDescent="0.25">
      <c r="A23" s="13">
        <v>13</v>
      </c>
      <c r="B23" s="14" t="s">
        <v>81</v>
      </c>
      <c r="C23" s="14" t="s">
        <v>65</v>
      </c>
      <c r="D23" s="15">
        <v>100000</v>
      </c>
      <c r="E23" s="13">
        <v>12800</v>
      </c>
      <c r="F23" s="13">
        <v>9</v>
      </c>
      <c r="G23" s="13">
        <v>7</v>
      </c>
      <c r="H23" s="16" t="s">
        <v>66</v>
      </c>
    </row>
    <row r="24" spans="1:8" ht="16" x14ac:dyDescent="0.25">
      <c r="A24" s="17">
        <v>14</v>
      </c>
      <c r="B24" s="18" t="s">
        <v>82</v>
      </c>
      <c r="C24" s="18" t="s">
        <v>65</v>
      </c>
      <c r="D24" s="19">
        <v>55000</v>
      </c>
      <c r="E24" s="17">
        <v>12800</v>
      </c>
      <c r="F24" s="17">
        <v>9</v>
      </c>
      <c r="G24" s="17">
        <v>7</v>
      </c>
      <c r="H24" s="20" t="s">
        <v>66</v>
      </c>
    </row>
    <row r="25" spans="1:8" ht="16" x14ac:dyDescent="0.25">
      <c r="A25" s="13">
        <v>15</v>
      </c>
      <c r="B25" s="14" t="s">
        <v>83</v>
      </c>
      <c r="C25" s="14" t="s">
        <v>65</v>
      </c>
      <c r="D25" s="15">
        <v>140000</v>
      </c>
      <c r="E25" s="13">
        <v>25600</v>
      </c>
      <c r="F25" s="13">
        <v>45</v>
      </c>
      <c r="G25" s="13">
        <v>7</v>
      </c>
      <c r="H25" s="16" t="s">
        <v>66</v>
      </c>
    </row>
    <row r="26" spans="1:8" ht="16" x14ac:dyDescent="0.25">
      <c r="A26" s="17">
        <v>16</v>
      </c>
      <c r="B26" s="18" t="s">
        <v>84</v>
      </c>
      <c r="C26" s="18" t="s">
        <v>65</v>
      </c>
      <c r="D26" s="19">
        <v>80000</v>
      </c>
      <c r="E26" s="17">
        <v>12800</v>
      </c>
      <c r="F26" s="17">
        <v>9</v>
      </c>
      <c r="G26" s="17">
        <v>7</v>
      </c>
      <c r="H26" s="20" t="s">
        <v>66</v>
      </c>
    </row>
    <row r="27" spans="1:8" ht="16" x14ac:dyDescent="0.25">
      <c r="A27" s="13">
        <v>17</v>
      </c>
      <c r="B27" s="14" t="s">
        <v>85</v>
      </c>
      <c r="C27" s="14" t="s">
        <v>65</v>
      </c>
      <c r="D27" s="15">
        <v>165000</v>
      </c>
      <c r="E27" s="13">
        <v>102400</v>
      </c>
      <c r="F27" s="13">
        <v>61</v>
      </c>
      <c r="G27" s="13">
        <v>10</v>
      </c>
      <c r="H27" s="16" t="s">
        <v>66</v>
      </c>
    </row>
    <row r="28" spans="1:8" ht="16" x14ac:dyDescent="0.25">
      <c r="A28" s="17">
        <v>18</v>
      </c>
      <c r="B28" s="18" t="s">
        <v>86</v>
      </c>
      <c r="C28" s="18" t="s">
        <v>65</v>
      </c>
      <c r="D28" s="19">
        <v>75000</v>
      </c>
      <c r="E28" s="17">
        <v>12800</v>
      </c>
      <c r="F28" s="17">
        <v>9</v>
      </c>
      <c r="G28" s="17">
        <v>7</v>
      </c>
      <c r="H28" s="20" t="s">
        <v>66</v>
      </c>
    </row>
    <row r="29" spans="1:8" ht="16" x14ac:dyDescent="0.25">
      <c r="A29" s="13">
        <v>19</v>
      </c>
      <c r="B29" s="14" t="s">
        <v>87</v>
      </c>
      <c r="C29" s="14" t="s">
        <v>65</v>
      </c>
      <c r="D29" s="15">
        <v>215000</v>
      </c>
      <c r="E29" s="13">
        <v>102400</v>
      </c>
      <c r="F29" s="13">
        <v>61</v>
      </c>
      <c r="G29" s="13">
        <v>10</v>
      </c>
      <c r="H29" s="16" t="s">
        <v>66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tabSelected="1" zoomScale="84" workbookViewId="0">
      <selection activeCell="F8" sqref="F8"/>
    </sheetView>
  </sheetViews>
  <sheetFormatPr baseColWidth="10" defaultColWidth="8.83203125" defaultRowHeight="15" x14ac:dyDescent="0.2"/>
  <cols>
    <col min="1" max="1" width="79" customWidth="1"/>
    <col min="2" max="6" width="20" customWidth="1"/>
    <col min="7" max="7" width="39" customWidth="1"/>
  </cols>
  <sheetData>
    <row r="1" spans="1:7" ht="23" x14ac:dyDescent="0.3">
      <c r="A1" s="1" t="s">
        <v>88</v>
      </c>
    </row>
    <row r="2" spans="1:7" ht="16" x14ac:dyDescent="0.25">
      <c r="A2" s="2" t="s">
        <v>89</v>
      </c>
    </row>
    <row r="4" spans="1:7" ht="16" x14ac:dyDescent="0.2">
      <c r="A4" s="6" t="s">
        <v>56</v>
      </c>
      <c r="B4" s="6" t="s">
        <v>57</v>
      </c>
      <c r="C4" s="6" t="s">
        <v>90</v>
      </c>
      <c r="D4" s="6" t="s">
        <v>91</v>
      </c>
      <c r="E4" s="6" t="s">
        <v>92</v>
      </c>
      <c r="F4" s="6" t="s">
        <v>93</v>
      </c>
      <c r="G4" s="6" t="s">
        <v>94</v>
      </c>
    </row>
    <row r="5" spans="1:7" ht="16" x14ac:dyDescent="0.2">
      <c r="A5" s="21">
        <v>1</v>
      </c>
      <c r="B5" s="14" t="str">
        <f>'Data Awal'!B11</f>
        <v>Canon M10</v>
      </c>
      <c r="C5" s="22">
        <f>ROUND(IF('Data Awal'!$B$6='Data Awal'!$B$5, 10, (('Data Awal'!$B$6-'Data Awal'!D11)/('Data Awal'!$B$6-'Data Awal'!$B$5))*1), 2)</f>
        <v>0.84</v>
      </c>
      <c r="D5" s="22">
        <f>ROUND(('Data Awal'!E11/'Data Awal'!$B$7)*1, 2)</f>
        <v>0.25</v>
      </c>
      <c r="E5" s="22">
        <f>ROUND(('Data Awal'!F11/'Data Awal'!$B$8)*1, 2)</f>
        <v>0.12</v>
      </c>
      <c r="F5" s="13">
        <f>'Data Awal'!G11</f>
        <v>7</v>
      </c>
      <c r="G5" s="14" t="str">
        <f t="shared" ref="G5:G23" si="0">"X = [" &amp; C5 &amp; "; " &amp; D5 &amp; "; " &amp; E5 &amp; "; " &amp; F5 &amp; "]"</f>
        <v>X = [0,84; 0,25; 0,12; 7]</v>
      </c>
    </row>
    <row r="6" spans="1:7" ht="16" x14ac:dyDescent="0.2">
      <c r="A6" s="23">
        <v>2</v>
      </c>
      <c r="B6" s="18" t="str">
        <f>'Data Awal'!B12</f>
        <v>Sony A5000</v>
      </c>
      <c r="C6" s="24">
        <f>ROUND(IF('Data Awal'!$B$6='Data Awal'!$B$5, 10, (('Data Awal'!$B$6-'Data Awal'!D12)/('Data Awal'!$B$6-'Data Awal'!$B$5))*1), 2)</f>
        <v>0.78</v>
      </c>
      <c r="D6" s="24">
        <f>ROUND(('Data Awal'!E12/'Data Awal'!$B$7)*1, 2)</f>
        <v>0.25</v>
      </c>
      <c r="E6" s="24">
        <f>ROUND(('Data Awal'!F12/'Data Awal'!$B$8)*1, 2)</f>
        <v>0.06</v>
      </c>
      <c r="F6" s="23">
        <f>'Data Awal'!G12</f>
        <v>7</v>
      </c>
      <c r="G6" s="18" t="str">
        <f t="shared" si="0"/>
        <v>X = [0,78; 0,25; 0,06; 7]</v>
      </c>
    </row>
    <row r="7" spans="1:7" ht="16" x14ac:dyDescent="0.2">
      <c r="A7" s="21">
        <v>3</v>
      </c>
      <c r="B7" s="14" t="str">
        <f>'Data Awal'!B13</f>
        <v>Canon M3</v>
      </c>
      <c r="C7" s="22">
        <f>ROUND(IF('Data Awal'!$B$6='Data Awal'!$B$5, 10, (('Data Awal'!$B$6-'Data Awal'!D13)/('Data Awal'!$B$6-'Data Awal'!$B$5))*1), 2)</f>
        <v>0.72</v>
      </c>
      <c r="D7" s="22">
        <f>ROUND(('Data Awal'!E13/'Data Awal'!$B$7)*1, 2)</f>
        <v>0.25</v>
      </c>
      <c r="E7" s="22">
        <f>ROUND(('Data Awal'!F13/'Data Awal'!$B$8)*1, 2)</f>
        <v>0.12</v>
      </c>
      <c r="F7" s="21">
        <f>'Data Awal'!G13</f>
        <v>7</v>
      </c>
      <c r="G7" s="14" t="str">
        <f t="shared" si="0"/>
        <v>X = [0,72; 0,25; 0,12; 7]</v>
      </c>
    </row>
    <row r="8" spans="1:7" ht="16" x14ac:dyDescent="0.2">
      <c r="A8" s="23">
        <v>4</v>
      </c>
      <c r="B8" s="18" t="str">
        <f>'Data Awal'!B14</f>
        <v>Sony A6000</v>
      </c>
      <c r="C8" s="24">
        <f>ROUND(IF('Data Awal'!$B$6='Data Awal'!$B$5, 10, (('Data Awal'!$B$6-'Data Awal'!D14)/('Data Awal'!$B$6-'Data Awal'!$B$5))*1), 2)</f>
        <v>0.66</v>
      </c>
      <c r="D8" s="24">
        <f>ROUND(('Data Awal'!E14/'Data Awal'!$B$7)*1, 2)</f>
        <v>0.25</v>
      </c>
      <c r="E8" s="24">
        <f>ROUND(('Data Awal'!F14/'Data Awal'!$B$8)*1, 2)</f>
        <v>0.42</v>
      </c>
      <c r="F8" s="23">
        <f>'Data Awal'!G14</f>
        <v>7</v>
      </c>
      <c r="G8" s="18" t="str">
        <f t="shared" si="0"/>
        <v>X = [0,66; 0,25; 0,42; 7]</v>
      </c>
    </row>
    <row r="9" spans="1:7" ht="16" x14ac:dyDescent="0.2">
      <c r="A9" s="21">
        <v>5</v>
      </c>
      <c r="B9" s="14" t="str">
        <f>'Data Awal'!B15</f>
        <v>Canon M50</v>
      </c>
      <c r="C9" s="22">
        <f>ROUND(IF('Data Awal'!$B$6='Data Awal'!$B$5, 10, (('Data Awal'!$B$6-'Data Awal'!D15)/('Data Awal'!$B$6-'Data Awal'!$B$5))*1), 2)</f>
        <v>0.53</v>
      </c>
      <c r="D9" s="22">
        <f>ROUND(('Data Awal'!E15/'Data Awal'!$B$7)*1, 2)</f>
        <v>0.5</v>
      </c>
      <c r="E9" s="22">
        <f>ROUND(('Data Awal'!F15/'Data Awal'!$B$8)*1, 2)</f>
        <v>0.34</v>
      </c>
      <c r="F9" s="21">
        <f>'Data Awal'!G15</f>
        <v>7</v>
      </c>
      <c r="G9" s="14" t="str">
        <f t="shared" si="0"/>
        <v>X = [0,53; 0,5; 0,34; 7]</v>
      </c>
    </row>
    <row r="10" spans="1:7" ht="16" x14ac:dyDescent="0.2">
      <c r="A10" s="23">
        <v>6</v>
      </c>
      <c r="B10" s="18" t="str">
        <f>'Data Awal'!B16</f>
        <v>Sony A6300</v>
      </c>
      <c r="C10" s="24">
        <f>ROUND(IF('Data Awal'!$B$6='Data Awal'!$B$5, 10, (('Data Awal'!$B$6-'Data Awal'!D16)/('Data Awal'!$B$6-'Data Awal'!$B$5))*1), 2)</f>
        <v>0.38</v>
      </c>
      <c r="D10" s="24">
        <f>ROUND(('Data Awal'!E16/'Data Awal'!$B$7)*1, 2)</f>
        <v>0.5</v>
      </c>
      <c r="E10" s="24">
        <f>ROUND(('Data Awal'!F16/'Data Awal'!$B$8)*1, 2)</f>
        <v>1</v>
      </c>
      <c r="F10" s="23">
        <f>'Data Awal'!G16</f>
        <v>7</v>
      </c>
      <c r="G10" s="18" t="str">
        <f t="shared" si="0"/>
        <v>X = [0,38; 0,5; 1; 7]</v>
      </c>
    </row>
    <row r="11" spans="1:7" ht="16" x14ac:dyDescent="0.2">
      <c r="A11" s="21">
        <v>7</v>
      </c>
      <c r="B11" s="14" t="str">
        <f>'Data Awal'!B17</f>
        <v>Fujifilm XA3</v>
      </c>
      <c r="C11" s="22">
        <f>ROUND(IF('Data Awal'!$B$6='Data Awal'!$B$5, 10, (('Data Awal'!$B$6-'Data Awal'!D17)/('Data Awal'!$B$6-'Data Awal'!$B$5))*1), 2)</f>
        <v>0.84</v>
      </c>
      <c r="D11" s="22">
        <f>ROUND(('Data Awal'!E17/'Data Awal'!$B$7)*1, 2)</f>
        <v>0.25</v>
      </c>
      <c r="E11" s="22">
        <f>ROUND(('Data Awal'!F17/'Data Awal'!$B$8)*1, 2)</f>
        <v>0.18</v>
      </c>
      <c r="F11" s="21">
        <f>'Data Awal'!G17</f>
        <v>7</v>
      </c>
      <c r="G11" s="14" t="str">
        <f t="shared" si="0"/>
        <v>X = [0,84; 0,25; 0,18; 7]</v>
      </c>
    </row>
    <row r="12" spans="1:7" ht="16" x14ac:dyDescent="0.2">
      <c r="A12" s="23">
        <v>8</v>
      </c>
      <c r="B12" s="18" t="str">
        <f>'Data Awal'!B18</f>
        <v>Sony A6400</v>
      </c>
      <c r="C12" s="24">
        <f>ROUND(IF('Data Awal'!$B$6='Data Awal'!$B$5, 10, (('Data Awal'!$B$6-'Data Awal'!D18)/('Data Awal'!$B$6-'Data Awal'!$B$5))*1), 2)</f>
        <v>0.19</v>
      </c>
      <c r="D12" s="24">
        <f>ROUND(('Data Awal'!E18/'Data Awal'!$B$7)*1, 2)</f>
        <v>0.5</v>
      </c>
      <c r="E12" s="24">
        <f>ROUND(('Data Awal'!F18/'Data Awal'!$B$8)*1, 2)</f>
        <v>1</v>
      </c>
      <c r="F12" s="23">
        <f>'Data Awal'!G18</f>
        <v>7</v>
      </c>
      <c r="G12" s="18" t="str">
        <f t="shared" si="0"/>
        <v>X = [0,19; 0,5; 1; 7]</v>
      </c>
    </row>
    <row r="13" spans="1:7" ht="16" x14ac:dyDescent="0.2">
      <c r="A13" s="21">
        <v>9</v>
      </c>
      <c r="B13" s="14" t="str">
        <f>'Data Awal'!B19</f>
        <v>Fujifilm XA5</v>
      </c>
      <c r="C13" s="22">
        <f>ROUND(IF('Data Awal'!$B$6='Data Awal'!$B$5, 10, (('Data Awal'!$B$6-'Data Awal'!D19)/('Data Awal'!$B$6-'Data Awal'!$B$5))*1), 2)</f>
        <v>0.78</v>
      </c>
      <c r="D13" s="22">
        <f>ROUND(('Data Awal'!E19/'Data Awal'!$B$7)*1, 2)</f>
        <v>0.25</v>
      </c>
      <c r="E13" s="22">
        <f>ROUND(('Data Awal'!F19/'Data Awal'!$B$8)*1, 2)</f>
        <v>0.18</v>
      </c>
      <c r="F13" s="21">
        <f>'Data Awal'!G19</f>
        <v>7</v>
      </c>
      <c r="G13" s="14" t="str">
        <f t="shared" si="0"/>
        <v>X = [0,78; 0,25; 0,18; 7]</v>
      </c>
    </row>
    <row r="14" spans="1:7" ht="16" x14ac:dyDescent="0.2">
      <c r="A14" s="23">
        <v>10</v>
      </c>
      <c r="B14" s="18" t="str">
        <f>'Data Awal'!B20</f>
        <v>Nikon J5</v>
      </c>
      <c r="C14" s="24">
        <f>ROUND(IF('Data Awal'!$B$6='Data Awal'!$B$5, 10, (('Data Awal'!$B$6-'Data Awal'!D20)/('Data Awal'!$B$6-'Data Awal'!$B$5))*1), 2)</f>
        <v>0.88</v>
      </c>
      <c r="D14" s="24">
        <f>ROUND(('Data Awal'!E20/'Data Awal'!$B$7)*1, 2)</f>
        <v>0.13</v>
      </c>
      <c r="E14" s="24">
        <f>ROUND(('Data Awal'!F20/'Data Awal'!$B$8)*1, 2)</f>
        <v>0.4</v>
      </c>
      <c r="F14" s="23">
        <f>'Data Awal'!G20</f>
        <v>5</v>
      </c>
      <c r="G14" s="18" t="str">
        <f t="shared" si="0"/>
        <v>X = [0,88; 0,13; 0,4; 5]</v>
      </c>
    </row>
    <row r="15" spans="1:7" ht="16" x14ac:dyDescent="0.2">
      <c r="A15" s="21">
        <v>11</v>
      </c>
      <c r="B15" s="14" t="str">
        <f>'Data Awal'!B21</f>
        <v>Fujifilm XT20</v>
      </c>
      <c r="C15" s="22">
        <f>ROUND(IF('Data Awal'!$B$6='Data Awal'!$B$5, 10, (('Data Awal'!$B$6-'Data Awal'!D21)/('Data Awal'!$B$6-'Data Awal'!$B$5))*1), 2)</f>
        <v>0.44</v>
      </c>
      <c r="D15" s="22">
        <f>ROUND(('Data Awal'!E21/'Data Awal'!$B$7)*1, 2)</f>
        <v>0.5</v>
      </c>
      <c r="E15" s="22">
        <f>ROUND(('Data Awal'!F21/'Data Awal'!$B$8)*1, 2)</f>
        <v>0.76</v>
      </c>
      <c r="F15" s="21">
        <f>'Data Awal'!G21</f>
        <v>7</v>
      </c>
      <c r="G15" s="14" t="str">
        <f t="shared" si="0"/>
        <v>X = [0,44; 0,5; 0,76; 7]</v>
      </c>
    </row>
    <row r="16" spans="1:7" ht="16" x14ac:dyDescent="0.2">
      <c r="A16" s="23">
        <v>12</v>
      </c>
      <c r="B16" s="18" t="str">
        <f>'Data Awal'!B22</f>
        <v>Canon 500D</v>
      </c>
      <c r="C16" s="24">
        <f>ROUND(IF('Data Awal'!$B$6='Data Awal'!$B$5, 10, (('Data Awal'!$B$6-'Data Awal'!D22)/('Data Awal'!$B$6-'Data Awal'!$B$5))*10), 2)</f>
        <v>10</v>
      </c>
      <c r="D16" s="24">
        <f>ROUND(('Data Awal'!E22/'Data Awal'!$B$7)*1, 2)</f>
        <v>0.13</v>
      </c>
      <c r="E16" s="24">
        <f>ROUND(('Data Awal'!F22/'Data Awal'!$B$8)*1, 2)</f>
        <v>0.02</v>
      </c>
      <c r="F16" s="23">
        <f>'Data Awal'!G22</f>
        <v>7</v>
      </c>
      <c r="G16" s="18" t="str">
        <f t="shared" si="0"/>
        <v>X = [10; 0,13; 0,02; 7]</v>
      </c>
    </row>
    <row r="17" spans="1:7" ht="16" x14ac:dyDescent="0.2">
      <c r="A17" s="21">
        <v>13</v>
      </c>
      <c r="B17" s="14" t="str">
        <f>'Data Awal'!B23</f>
        <v>Canon 60D</v>
      </c>
      <c r="C17" s="22">
        <f>ROUND(IF('Data Awal'!$B$6='Data Awal'!$B$5, 10, (('Data Awal'!$B$6-'Data Awal'!D23)/('Data Awal'!$B$6-'Data Awal'!$B$5))*1), 2)</f>
        <v>0.72</v>
      </c>
      <c r="D17" s="22">
        <f>ROUND(('Data Awal'!E23/'Data Awal'!$B$7)*1, 2)</f>
        <v>0.13</v>
      </c>
      <c r="E17" s="22">
        <f>ROUND(('Data Awal'!F23/'Data Awal'!$B$8)*1, 2)</f>
        <v>0.02</v>
      </c>
      <c r="F17" s="21">
        <f>'Data Awal'!G23</f>
        <v>7</v>
      </c>
      <c r="G17" s="14" t="str">
        <f t="shared" si="0"/>
        <v>X = [0,72; 0,13; 0,02; 7]</v>
      </c>
    </row>
    <row r="18" spans="1:7" ht="16" x14ac:dyDescent="0.2">
      <c r="A18" s="23">
        <v>14</v>
      </c>
      <c r="B18" s="18" t="str">
        <f>'Data Awal'!B24</f>
        <v>Canon 1100D</v>
      </c>
      <c r="C18" s="24">
        <f>ROUND(IF('Data Awal'!$B$6='Data Awal'!$B$5, 10, (('Data Awal'!$B$6-'Data Awal'!D24)/('Data Awal'!$B$6-'Data Awal'!$B$5))*1), 2)</f>
        <v>1</v>
      </c>
      <c r="D18" s="24">
        <f>ROUND(('Data Awal'!E24/'Data Awal'!$B$7)*1, 2)</f>
        <v>0.13</v>
      </c>
      <c r="E18" s="24">
        <f>ROUND(('Data Awal'!F24/'Data Awal'!$B$8)*1, 2)</f>
        <v>0.02</v>
      </c>
      <c r="F18" s="23">
        <f>'Data Awal'!G24</f>
        <v>7</v>
      </c>
      <c r="G18" s="18" t="str">
        <f t="shared" si="0"/>
        <v>X = [1; 0,13; 0,02; 7]</v>
      </c>
    </row>
    <row r="19" spans="1:7" ht="16" x14ac:dyDescent="0.2">
      <c r="A19" s="21">
        <v>15</v>
      </c>
      <c r="B19" s="14" t="str">
        <f>'Data Awal'!B25</f>
        <v>Canon 80D</v>
      </c>
      <c r="C19" s="22">
        <f>ROUND(IF('Data Awal'!$B$6='Data Awal'!$B$5, 10, (('Data Awal'!$B$6-'Data Awal'!D25)/('Data Awal'!$B$6-'Data Awal'!$B$5))*10), 2)</f>
        <v>4.6900000000000004</v>
      </c>
      <c r="D19" s="22">
        <f>ROUND(('Data Awal'!E25/'Data Awal'!$B$7)*1, 2)</f>
        <v>0.25</v>
      </c>
      <c r="E19" s="22">
        <f>ROUND(('Data Awal'!F25/'Data Awal'!$B$8)*1, 2)</f>
        <v>0.11</v>
      </c>
      <c r="F19" s="21">
        <f>'Data Awal'!G25</f>
        <v>7</v>
      </c>
      <c r="G19" s="14" t="str">
        <f t="shared" si="0"/>
        <v>X = [4,69; 0,25; 0,11; 7]</v>
      </c>
    </row>
    <row r="20" spans="1:7" ht="16" x14ac:dyDescent="0.2">
      <c r="A20" s="23">
        <v>16</v>
      </c>
      <c r="B20" s="18" t="str">
        <f>'Data Awal'!B26</f>
        <v>Canon 600D</v>
      </c>
      <c r="C20" s="24">
        <f>ROUND(IF('Data Awal'!$B$6='Data Awal'!$B$5, 10, (('Data Awal'!$B$6-'Data Awal'!D26)/('Data Awal'!$B$6-'Data Awal'!$B$5))*1), 2)</f>
        <v>0.84</v>
      </c>
      <c r="D20" s="24">
        <f>ROUND(('Data Awal'!E26/'Data Awal'!$B$7)*1, 2)</f>
        <v>0.13</v>
      </c>
      <c r="E20" s="24">
        <f>ROUND(('Data Awal'!F26/'Data Awal'!$B$8)*1, 2)</f>
        <v>0.02</v>
      </c>
      <c r="F20" s="23">
        <f>'Data Awal'!G26</f>
        <v>7</v>
      </c>
      <c r="G20" s="18" t="str">
        <f t="shared" si="0"/>
        <v>X = [0,84; 0,13; 0,02; 7]</v>
      </c>
    </row>
    <row r="21" spans="1:7" ht="16" x14ac:dyDescent="0.2">
      <c r="A21" s="21">
        <v>17</v>
      </c>
      <c r="B21" s="14" t="str">
        <f>'Data Awal'!B27</f>
        <v>Canon 6D</v>
      </c>
      <c r="C21" s="22">
        <f>ROUND(IF('Data Awal'!$B$6='Data Awal'!$B$5, 10, (('Data Awal'!$B$6-'Data Awal'!D27)/('Data Awal'!$B$6-'Data Awal'!$B$5))*1), 2)</f>
        <v>0.31</v>
      </c>
      <c r="D21" s="22">
        <f>ROUND(('Data Awal'!E27/'Data Awal'!$B$7)*1, 2)</f>
        <v>1</v>
      </c>
      <c r="E21" s="22">
        <f>ROUND(('Data Awal'!F27/'Data Awal'!$B$8)*1, 2)</f>
        <v>0.14000000000000001</v>
      </c>
      <c r="F21" s="21">
        <f>'Data Awal'!G27</f>
        <v>10</v>
      </c>
      <c r="G21" s="14" t="str">
        <f t="shared" si="0"/>
        <v>X = [0,31; 1; 0,14; 10]</v>
      </c>
    </row>
    <row r="22" spans="1:7" ht="16" x14ac:dyDescent="0.2">
      <c r="A22" s="23">
        <v>18</v>
      </c>
      <c r="B22" s="18" t="str">
        <f>'Data Awal'!B28</f>
        <v>Canon 550D</v>
      </c>
      <c r="C22" s="24">
        <f>ROUND(IF('Data Awal'!$B$6='Data Awal'!$B$5, 10, (('Data Awal'!$B$6-'Data Awal'!D28)/('Data Awal'!$B$6-'Data Awal'!$B$5))*1), 2)</f>
        <v>0.88</v>
      </c>
      <c r="D22" s="24">
        <f>ROUND(('Data Awal'!E28/'Data Awal'!$B$7)*1, 2)</f>
        <v>0.13</v>
      </c>
      <c r="E22" s="24">
        <f>ROUND(('Data Awal'!F28/'Data Awal'!$B$8)*1, 2)</f>
        <v>0.02</v>
      </c>
      <c r="F22" s="23">
        <f>'Data Awal'!G28</f>
        <v>7</v>
      </c>
      <c r="G22" s="18" t="str">
        <f t="shared" si="0"/>
        <v>X = [0,88; 0,13; 0,02; 7]</v>
      </c>
    </row>
    <row r="23" spans="1:7" ht="16" x14ac:dyDescent="0.2">
      <c r="A23" s="21">
        <v>19</v>
      </c>
      <c r="B23" s="14" t="str">
        <f>'Data Awal'!B29</f>
        <v>Canon 5D Mark III</v>
      </c>
      <c r="C23" s="22">
        <f>ROUND(IF('Data Awal'!$B$6='Data Awal'!$B$5, 10, (('Data Awal'!$B$6-'Data Awal'!D29)/('Data Awal'!$B$6-'Data Awal'!$B$5))*1), 2)</f>
        <v>0</v>
      </c>
      <c r="D23" s="22">
        <f>ROUND(('Data Awal'!E29/'Data Awal'!$B$7)*1,2)</f>
        <v>1</v>
      </c>
      <c r="E23" s="22">
        <f>ROUND(('Data Awal'!F29/'Data Awal'!$B$8)*1, 2)</f>
        <v>0.14000000000000001</v>
      </c>
      <c r="F23" s="21">
        <f>'Data Awal'!G29</f>
        <v>10</v>
      </c>
      <c r="G23" s="14" t="str">
        <f t="shared" si="0"/>
        <v>X = [0; 1; 0,14; 10]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topLeftCell="A2" workbookViewId="0"/>
  </sheetViews>
  <sheetFormatPr baseColWidth="10" defaultColWidth="8.83203125" defaultRowHeight="15" x14ac:dyDescent="0.2"/>
  <cols>
    <col min="1" max="1" width="96" customWidth="1"/>
    <col min="2" max="2" width="21" customWidth="1"/>
    <col min="3" max="3" width="74" customWidth="1"/>
    <col min="4" max="6" width="20" customWidth="1"/>
    <col min="7" max="7" width="28" customWidth="1"/>
  </cols>
  <sheetData>
    <row r="1" spans="1:7" ht="23" x14ac:dyDescent="0.3">
      <c r="A1" s="1" t="s">
        <v>95</v>
      </c>
    </row>
    <row r="2" spans="1:7" ht="16" x14ac:dyDescent="0.25">
      <c r="A2" s="2" t="s">
        <v>96</v>
      </c>
    </row>
    <row r="4" spans="1:7" ht="16" x14ac:dyDescent="0.25">
      <c r="A4" s="4" t="s">
        <v>97</v>
      </c>
      <c r="B4" s="4" t="s">
        <v>98</v>
      </c>
      <c r="C4" s="4" t="s">
        <v>47</v>
      </c>
    </row>
    <row r="5" spans="1:7" ht="16" x14ac:dyDescent="0.25">
      <c r="A5" s="10" t="s">
        <v>99</v>
      </c>
      <c r="B5" s="25">
        <f>SQRT(SUMSQ('Skor Kriteria'!C5:C23))</f>
        <v>11.406226369838539</v>
      </c>
      <c r="C5" s="9" t="s">
        <v>100</v>
      </c>
    </row>
    <row r="6" spans="1:7" ht="16" x14ac:dyDescent="0.25">
      <c r="A6" s="10" t="s">
        <v>101</v>
      </c>
      <c r="B6" s="25">
        <f>SQRT(SUMSQ('Skor Kriteria'!D5:D23))</f>
        <v>1.881196427808643</v>
      </c>
      <c r="C6" s="9" t="s">
        <v>102</v>
      </c>
    </row>
    <row r="7" spans="1:7" ht="16" x14ac:dyDescent="0.25">
      <c r="A7" s="10" t="s">
        <v>103</v>
      </c>
      <c r="B7" s="25">
        <f>SQRT(SUMSQ('Skor Kriteria'!E5:E23))</f>
        <v>1.7832834883999793</v>
      </c>
      <c r="C7" s="9" t="s">
        <v>104</v>
      </c>
    </row>
    <row r="8" spans="1:7" ht="16" x14ac:dyDescent="0.25">
      <c r="A8" s="10" t="s">
        <v>105</v>
      </c>
      <c r="B8" s="25">
        <f>SQRT(SUMSQ('Skor Kriteria'!F5:F23))</f>
        <v>31.76476034853718</v>
      </c>
      <c r="C8" s="9" t="s">
        <v>106</v>
      </c>
    </row>
    <row r="10" spans="1:7" ht="16" x14ac:dyDescent="0.2">
      <c r="A10" s="6" t="s">
        <v>56</v>
      </c>
      <c r="B10" s="6" t="s">
        <v>57</v>
      </c>
      <c r="C10" s="6" t="s">
        <v>107</v>
      </c>
      <c r="D10" s="6" t="s">
        <v>108</v>
      </c>
      <c r="E10" s="6" t="s">
        <v>109</v>
      </c>
      <c r="F10" s="6" t="s">
        <v>110</v>
      </c>
      <c r="G10" s="6" t="s">
        <v>111</v>
      </c>
    </row>
    <row r="11" spans="1:7" ht="16" x14ac:dyDescent="0.2">
      <c r="A11" s="21">
        <v>1</v>
      </c>
      <c r="B11" s="14" t="str">
        <f>'Skor Kriteria'!B5</f>
        <v>Canon M10</v>
      </c>
      <c r="C11" s="26">
        <f>'Skor Kriteria'!C5/$B$5</f>
        <v>7.3643988183612619E-2</v>
      </c>
      <c r="D11" s="26">
        <f>'Skor Kriteria'!D5/$B$6</f>
        <v>0.13289414986356238</v>
      </c>
      <c r="E11" s="26">
        <f>'Skor Kriteria'!E5/$B$7</f>
        <v>6.7291600455330836E-2</v>
      </c>
      <c r="F11" s="26">
        <f>'Skor Kriteria'!F5/$B$8</f>
        <v>0.22036999250719552</v>
      </c>
      <c r="G11" s="14" t="str">
        <f t="shared" ref="G11:G29" si="0">"r = [" &amp; ROUND(C11, 4) &amp; "; " &amp; ROUND(D11, 4) &amp; "; " &amp; ROUND(E11, 4) &amp; "; " &amp; ROUND(F11, 4) &amp; "]"</f>
        <v>r = [0,0736; 0,1329; 0,0673; 0,2204]</v>
      </c>
    </row>
    <row r="12" spans="1:7" ht="16" x14ac:dyDescent="0.2">
      <c r="A12" s="23">
        <v>2</v>
      </c>
      <c r="B12" s="18" t="str">
        <f>'Skor Kriteria'!B6</f>
        <v>Sony A5000</v>
      </c>
      <c r="C12" s="27">
        <f>'Skor Kriteria'!C6/$B$5</f>
        <v>6.8383703313354582E-2</v>
      </c>
      <c r="D12" s="27">
        <f>'Skor Kriteria'!D6/$B$6</f>
        <v>0.13289414986356238</v>
      </c>
      <c r="E12" s="27">
        <f>'Skor Kriteria'!E6/$B$7</f>
        <v>3.3645800227665418E-2</v>
      </c>
      <c r="F12" s="27">
        <f>'Skor Kriteria'!F6/$B$8</f>
        <v>0.22036999250719552</v>
      </c>
      <c r="G12" s="18" t="str">
        <f t="shared" si="0"/>
        <v>r = [0,0684; 0,1329; 0,0336; 0,2204]</v>
      </c>
    </row>
    <row r="13" spans="1:7" ht="16" x14ac:dyDescent="0.2">
      <c r="A13" s="21">
        <v>3</v>
      </c>
      <c r="B13" s="14" t="str">
        <f>'Skor Kriteria'!B7</f>
        <v>Canon M3</v>
      </c>
      <c r="C13" s="26">
        <f>'Skor Kriteria'!C7/$B$5</f>
        <v>6.3123418443096532E-2</v>
      </c>
      <c r="D13" s="26">
        <f>'Skor Kriteria'!D7/$B$6</f>
        <v>0.13289414986356238</v>
      </c>
      <c r="E13" s="26">
        <f>'Skor Kriteria'!E7/$B$7</f>
        <v>6.7291600455330836E-2</v>
      </c>
      <c r="F13" s="26">
        <f>'Skor Kriteria'!F7/$B$8</f>
        <v>0.22036999250719552</v>
      </c>
      <c r="G13" s="14" t="str">
        <f t="shared" si="0"/>
        <v>r = [0,0631; 0,1329; 0,0673; 0,2204]</v>
      </c>
    </row>
    <row r="14" spans="1:7" ht="16" x14ac:dyDescent="0.2">
      <c r="A14" s="23">
        <v>4</v>
      </c>
      <c r="B14" s="18" t="str">
        <f>'Skor Kriteria'!B8</f>
        <v>Sony A6000</v>
      </c>
      <c r="C14" s="27">
        <f>'Skor Kriteria'!C8/$B$5</f>
        <v>5.7863133572838489E-2</v>
      </c>
      <c r="D14" s="27">
        <f>'Skor Kriteria'!D8/$B$6</f>
        <v>0.13289414986356238</v>
      </c>
      <c r="E14" s="27">
        <f>'Skor Kriteria'!E8/$B$7</f>
        <v>0.2355206015936579</v>
      </c>
      <c r="F14" s="27">
        <f>'Skor Kriteria'!F8/$B$8</f>
        <v>0.22036999250719552</v>
      </c>
      <c r="G14" s="18" t="str">
        <f t="shared" si="0"/>
        <v>r = [0,0579; 0,1329; 0,2355; 0,2204]</v>
      </c>
    </row>
    <row r="15" spans="1:7" ht="16" x14ac:dyDescent="0.2">
      <c r="A15" s="21">
        <v>5</v>
      </c>
      <c r="B15" s="14" t="str">
        <f>'Skor Kriteria'!B9</f>
        <v>Canon M50</v>
      </c>
      <c r="C15" s="26">
        <f>'Skor Kriteria'!C9/$B$5</f>
        <v>4.646584968727939E-2</v>
      </c>
      <c r="D15" s="26">
        <f>'Skor Kriteria'!D9/$B$6</f>
        <v>0.26578829972712475</v>
      </c>
      <c r="E15" s="26">
        <f>'Skor Kriteria'!E9/$B$7</f>
        <v>0.19065953462343738</v>
      </c>
      <c r="F15" s="26">
        <f>'Skor Kriteria'!F9/$B$8</f>
        <v>0.22036999250719552</v>
      </c>
      <c r="G15" s="14" t="str">
        <f t="shared" si="0"/>
        <v>r = [0,0465; 0,2658; 0,1907; 0,2204]</v>
      </c>
    </row>
    <row r="16" spans="1:7" ht="16" x14ac:dyDescent="0.2">
      <c r="A16" s="23">
        <v>6</v>
      </c>
      <c r="B16" s="18" t="str">
        <f>'Skor Kriteria'!B10</f>
        <v>Sony A6300</v>
      </c>
      <c r="C16" s="27">
        <f>'Skor Kriteria'!C10/$B$5</f>
        <v>3.3315137511634278E-2</v>
      </c>
      <c r="D16" s="27">
        <f>'Skor Kriteria'!D10/$B$6</f>
        <v>0.26578829972712475</v>
      </c>
      <c r="E16" s="27">
        <f>'Skor Kriteria'!E10/$B$7</f>
        <v>0.56076333712775694</v>
      </c>
      <c r="F16" s="27">
        <f>'Skor Kriteria'!F10/$B$8</f>
        <v>0.22036999250719552</v>
      </c>
      <c r="G16" s="18" t="str">
        <f t="shared" si="0"/>
        <v>r = [0,0333; 0,2658; 0,5608; 0,2204]</v>
      </c>
    </row>
    <row r="17" spans="1:7" ht="16" x14ac:dyDescent="0.2">
      <c r="A17" s="21">
        <v>7</v>
      </c>
      <c r="B17" s="14" t="str">
        <f>'Skor Kriteria'!B11</f>
        <v>Fujifilm XA3</v>
      </c>
      <c r="C17" s="26">
        <f>'Skor Kriteria'!C11/$B$5</f>
        <v>7.3643988183612619E-2</v>
      </c>
      <c r="D17" s="26">
        <f>'Skor Kriteria'!D11/$B$6</f>
        <v>0.13289414986356238</v>
      </c>
      <c r="E17" s="26">
        <f>'Skor Kriteria'!E11/$B$7</f>
        <v>0.10093740068299624</v>
      </c>
      <c r="F17" s="26">
        <f>'Skor Kriteria'!F11/$B$8</f>
        <v>0.22036999250719552</v>
      </c>
      <c r="G17" s="14" t="str">
        <f t="shared" si="0"/>
        <v>r = [0,0736; 0,1329; 0,1009; 0,2204]</v>
      </c>
    </row>
    <row r="18" spans="1:7" ht="16" x14ac:dyDescent="0.2">
      <c r="A18" s="23">
        <v>8</v>
      </c>
      <c r="B18" s="18" t="str">
        <f>'Skor Kriteria'!B12</f>
        <v>Sony A6400</v>
      </c>
      <c r="C18" s="27">
        <f>'Skor Kriteria'!C12/$B$5</f>
        <v>1.6657568755817139E-2</v>
      </c>
      <c r="D18" s="27">
        <f>'Skor Kriteria'!D12/$B$6</f>
        <v>0.26578829972712475</v>
      </c>
      <c r="E18" s="27">
        <f>'Skor Kriteria'!E12/$B$7</f>
        <v>0.56076333712775694</v>
      </c>
      <c r="F18" s="27">
        <f>'Skor Kriteria'!F12/$B$8</f>
        <v>0.22036999250719552</v>
      </c>
      <c r="G18" s="18" t="str">
        <f t="shared" si="0"/>
        <v>r = [0,0167; 0,2658; 0,5608; 0,2204]</v>
      </c>
    </row>
    <row r="19" spans="1:7" ht="16" x14ac:dyDescent="0.2">
      <c r="A19" s="21">
        <v>9</v>
      </c>
      <c r="B19" s="14" t="str">
        <f>'Skor Kriteria'!B13</f>
        <v>Fujifilm XA5</v>
      </c>
      <c r="C19" s="26">
        <f>'Skor Kriteria'!C13/$B$5</f>
        <v>6.8383703313354582E-2</v>
      </c>
      <c r="D19" s="26">
        <f>'Skor Kriteria'!D13/$B$6</f>
        <v>0.13289414986356238</v>
      </c>
      <c r="E19" s="26">
        <f>'Skor Kriteria'!E13/$B$7</f>
        <v>0.10093740068299624</v>
      </c>
      <c r="F19" s="26">
        <f>'Skor Kriteria'!F13/$B$8</f>
        <v>0.22036999250719552</v>
      </c>
      <c r="G19" s="14" t="str">
        <f t="shared" si="0"/>
        <v>r = [0,0684; 0,1329; 0,1009; 0,2204]</v>
      </c>
    </row>
    <row r="20" spans="1:7" ht="16" x14ac:dyDescent="0.2">
      <c r="A20" s="23">
        <v>10</v>
      </c>
      <c r="B20" s="18" t="str">
        <f>'Skor Kriteria'!B14</f>
        <v>Nikon J5</v>
      </c>
      <c r="C20" s="27">
        <f>'Skor Kriteria'!C14/$B$5</f>
        <v>7.7150844763784643E-2</v>
      </c>
      <c r="D20" s="27">
        <f>'Skor Kriteria'!D14/$B$6</f>
        <v>6.9104957929052441E-2</v>
      </c>
      <c r="E20" s="27">
        <f>'Skor Kriteria'!E14/$B$7</f>
        <v>0.22430533485110279</v>
      </c>
      <c r="F20" s="27">
        <f>'Skor Kriteria'!F14/$B$8</f>
        <v>0.15740713750513965</v>
      </c>
      <c r="G20" s="18" t="str">
        <f t="shared" si="0"/>
        <v>r = [0,0772; 0,0691; 0,2243; 0,1574]</v>
      </c>
    </row>
    <row r="21" spans="1:7" ht="16" x14ac:dyDescent="0.2">
      <c r="A21" s="21">
        <v>11</v>
      </c>
      <c r="B21" s="14" t="str">
        <f>'Skor Kriteria'!B15</f>
        <v>Fujifilm XT20</v>
      </c>
      <c r="C21" s="26">
        <f>'Skor Kriteria'!C15/$B$5</f>
        <v>3.8575422381892321E-2</v>
      </c>
      <c r="D21" s="26">
        <f>'Skor Kriteria'!D15/$B$6</f>
        <v>0.26578829972712475</v>
      </c>
      <c r="E21" s="26">
        <f>'Skor Kriteria'!E15/$B$7</f>
        <v>0.42618013621709527</v>
      </c>
      <c r="F21" s="26">
        <f>'Skor Kriteria'!F15/$B$8</f>
        <v>0.22036999250719552</v>
      </c>
      <c r="G21" s="14" t="str">
        <f t="shared" si="0"/>
        <v>r = [0,0386; 0,2658; 0,4262; 0,2204]</v>
      </c>
    </row>
    <row r="22" spans="1:7" ht="16" x14ac:dyDescent="0.2">
      <c r="A22" s="23">
        <v>12</v>
      </c>
      <c r="B22" s="18" t="str">
        <f>'Skor Kriteria'!B16</f>
        <v>Canon 500D</v>
      </c>
      <c r="C22" s="27">
        <f>'Skor Kriteria'!C16/$B$5</f>
        <v>0.87671414504300738</v>
      </c>
      <c r="D22" s="27">
        <f>'Skor Kriteria'!D16/$B$6</f>
        <v>6.9104957929052441E-2</v>
      </c>
      <c r="E22" s="27">
        <f>'Skor Kriteria'!E16/$B$7</f>
        <v>1.1215266742555139E-2</v>
      </c>
      <c r="F22" s="27">
        <f>'Skor Kriteria'!F16/$B$8</f>
        <v>0.22036999250719552</v>
      </c>
      <c r="G22" s="18" t="str">
        <f t="shared" si="0"/>
        <v>r = [0,8767; 0,0691; 0,0112; 0,2204]</v>
      </c>
    </row>
    <row r="23" spans="1:7" ht="16" x14ac:dyDescent="0.2">
      <c r="A23" s="21">
        <v>13</v>
      </c>
      <c r="B23" s="14" t="str">
        <f>'Skor Kriteria'!B17</f>
        <v>Canon 60D</v>
      </c>
      <c r="C23" s="26">
        <f>'Skor Kriteria'!C17/$B$5</f>
        <v>6.3123418443096532E-2</v>
      </c>
      <c r="D23" s="26">
        <f>'Skor Kriteria'!D17/$B$6</f>
        <v>6.9104957929052441E-2</v>
      </c>
      <c r="E23" s="26">
        <f>'Skor Kriteria'!E17/$B$7</f>
        <v>1.1215266742555139E-2</v>
      </c>
      <c r="F23" s="26">
        <f>'Skor Kriteria'!F17/$B$8</f>
        <v>0.22036999250719552</v>
      </c>
      <c r="G23" s="14" t="str">
        <f t="shared" si="0"/>
        <v>r = [0,0631; 0,0691; 0,0112; 0,2204]</v>
      </c>
    </row>
    <row r="24" spans="1:7" ht="16" x14ac:dyDescent="0.2">
      <c r="A24" s="23">
        <v>14</v>
      </c>
      <c r="B24" s="18" t="str">
        <f>'Skor Kriteria'!B18</f>
        <v>Canon 1100D</v>
      </c>
      <c r="C24" s="27">
        <f>'Skor Kriteria'!C18/$B$5</f>
        <v>8.7671414504300743E-2</v>
      </c>
      <c r="D24" s="27">
        <f>'Skor Kriteria'!D18/$B$6</f>
        <v>6.9104957929052441E-2</v>
      </c>
      <c r="E24" s="27">
        <f>'Skor Kriteria'!E18/$B$7</f>
        <v>1.1215266742555139E-2</v>
      </c>
      <c r="F24" s="27">
        <f>'Skor Kriteria'!F18/$B$8</f>
        <v>0.22036999250719552</v>
      </c>
      <c r="G24" s="18" t="str">
        <f t="shared" si="0"/>
        <v>r = [0,0877; 0,0691; 0,0112; 0,2204]</v>
      </c>
    </row>
    <row r="25" spans="1:7" ht="16" x14ac:dyDescent="0.2">
      <c r="A25" s="21">
        <v>15</v>
      </c>
      <c r="B25" s="14" t="str">
        <f>'Skor Kriteria'!B19</f>
        <v>Canon 80D</v>
      </c>
      <c r="C25" s="26">
        <f>'Skor Kriteria'!C19/$B$5</f>
        <v>0.41117893402517047</v>
      </c>
      <c r="D25" s="26">
        <f>'Skor Kriteria'!D19/$B$6</f>
        <v>0.13289414986356238</v>
      </c>
      <c r="E25" s="26">
        <f>'Skor Kriteria'!E19/$B$7</f>
        <v>6.1683967084053264E-2</v>
      </c>
      <c r="F25" s="26">
        <f>'Skor Kriteria'!F19/$B$8</f>
        <v>0.22036999250719552</v>
      </c>
      <c r="G25" s="14" t="str">
        <f t="shared" si="0"/>
        <v>r = [0,4112; 0,1329; 0,0617; 0,2204]</v>
      </c>
    </row>
    <row r="26" spans="1:7" ht="16" x14ac:dyDescent="0.2">
      <c r="A26" s="23">
        <v>16</v>
      </c>
      <c r="B26" s="18" t="str">
        <f>'Skor Kriteria'!B20</f>
        <v>Canon 600D</v>
      </c>
      <c r="C26" s="27">
        <f>'Skor Kriteria'!C20/$B$5</f>
        <v>7.3643988183612619E-2</v>
      </c>
      <c r="D26" s="27">
        <f>'Skor Kriteria'!D20/$B$6</f>
        <v>6.9104957929052441E-2</v>
      </c>
      <c r="E26" s="27">
        <f>'Skor Kriteria'!E20/$B$7</f>
        <v>1.1215266742555139E-2</v>
      </c>
      <c r="F26" s="27">
        <f>'Skor Kriteria'!F20/$B$8</f>
        <v>0.22036999250719552</v>
      </c>
      <c r="G26" s="18" t="str">
        <f t="shared" si="0"/>
        <v>r = [0,0736; 0,0691; 0,0112; 0,2204]</v>
      </c>
    </row>
    <row r="27" spans="1:7" ht="16" x14ac:dyDescent="0.2">
      <c r="A27" s="21">
        <v>17</v>
      </c>
      <c r="B27" s="14" t="str">
        <f>'Skor Kriteria'!B21</f>
        <v>Canon 6D</v>
      </c>
      <c r="C27" s="26">
        <f>'Skor Kriteria'!C21/$B$5</f>
        <v>2.7178138496333229E-2</v>
      </c>
      <c r="D27" s="26">
        <f>'Skor Kriteria'!D21/$B$6</f>
        <v>0.53157659945424951</v>
      </c>
      <c r="E27" s="26">
        <f>'Skor Kriteria'!E21/$B$7</f>
        <v>7.8506867197885979E-2</v>
      </c>
      <c r="F27" s="26">
        <f>'Skor Kriteria'!F21/$B$8</f>
        <v>0.31481427501027931</v>
      </c>
      <c r="G27" s="14" t="str">
        <f t="shared" si="0"/>
        <v>r = [0,0272; 0,5316; 0,0785; 0,3148]</v>
      </c>
    </row>
    <row r="28" spans="1:7" ht="16" x14ac:dyDescent="0.2">
      <c r="A28" s="23">
        <v>18</v>
      </c>
      <c r="B28" s="18" t="str">
        <f>'Skor Kriteria'!B22</f>
        <v>Canon 550D</v>
      </c>
      <c r="C28" s="27">
        <f>'Skor Kriteria'!C22/$B$5</f>
        <v>7.7150844763784643E-2</v>
      </c>
      <c r="D28" s="27">
        <f>'Skor Kriteria'!D22/$B$6</f>
        <v>6.9104957929052441E-2</v>
      </c>
      <c r="E28" s="27">
        <f>'Skor Kriteria'!E22/$B$7</f>
        <v>1.1215266742555139E-2</v>
      </c>
      <c r="F28" s="27">
        <f>'Skor Kriteria'!F22/$B$8</f>
        <v>0.22036999250719552</v>
      </c>
      <c r="G28" s="18" t="str">
        <f t="shared" si="0"/>
        <v>r = [0,0772; 0,0691; 0,0112; 0,2204]</v>
      </c>
    </row>
    <row r="29" spans="1:7" ht="16" x14ac:dyDescent="0.2">
      <c r="A29" s="21">
        <v>19</v>
      </c>
      <c r="B29" s="14" t="str">
        <f>'Skor Kriteria'!B23</f>
        <v>Canon 5D Mark III</v>
      </c>
      <c r="C29" s="26">
        <f>'Skor Kriteria'!C23/$B$5</f>
        <v>0</v>
      </c>
      <c r="D29" s="26">
        <f>'Skor Kriteria'!D23/$B$6</f>
        <v>0.53157659945424951</v>
      </c>
      <c r="E29" s="26">
        <f>'Skor Kriteria'!E23/$B$7</f>
        <v>7.8506867197885979E-2</v>
      </c>
      <c r="F29" s="26">
        <f>'Skor Kriteria'!F23/$B$8</f>
        <v>0.31481427501027931</v>
      </c>
      <c r="G29" s="14" t="str">
        <f t="shared" si="0"/>
        <v>r = [0; 0,5316; 0,0785; 0,3148]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9"/>
  <sheetViews>
    <sheetView topLeftCell="A3" zoomScale="89" workbookViewId="0">
      <selection activeCell="B5" sqref="B5"/>
    </sheetView>
  </sheetViews>
  <sheetFormatPr baseColWidth="10" defaultColWidth="8.83203125" defaultRowHeight="15" x14ac:dyDescent="0.2"/>
  <cols>
    <col min="1" max="1" width="93" customWidth="1"/>
    <col min="2" max="6" width="20" customWidth="1"/>
    <col min="7" max="7" width="22" customWidth="1"/>
  </cols>
  <sheetData>
    <row r="1" spans="1:7" ht="23" x14ac:dyDescent="0.3">
      <c r="A1" s="1" t="s">
        <v>112</v>
      </c>
    </row>
    <row r="2" spans="1:7" ht="16" x14ac:dyDescent="0.25">
      <c r="A2" s="2" t="s">
        <v>113</v>
      </c>
    </row>
    <row r="4" spans="1:7" ht="16" x14ac:dyDescent="0.25">
      <c r="A4" s="4" t="s">
        <v>114</v>
      </c>
      <c r="B4" s="4" t="s">
        <v>115</v>
      </c>
      <c r="C4" s="4" t="s">
        <v>116</v>
      </c>
    </row>
    <row r="5" spans="1:7" ht="16" x14ac:dyDescent="0.25">
      <c r="A5" s="10" t="s">
        <v>90</v>
      </c>
      <c r="B5" s="28">
        <v>0.3</v>
      </c>
      <c r="C5" s="7" t="s">
        <v>117</v>
      </c>
    </row>
    <row r="6" spans="1:7" ht="16" x14ac:dyDescent="0.25">
      <c r="A6" s="10" t="s">
        <v>91</v>
      </c>
      <c r="B6" s="28">
        <v>0.15</v>
      </c>
      <c r="C6" s="7" t="s">
        <v>118</v>
      </c>
    </row>
    <row r="7" spans="1:7" ht="16" x14ac:dyDescent="0.25">
      <c r="A7" s="10" t="s">
        <v>92</v>
      </c>
      <c r="B7" s="28">
        <v>0.25</v>
      </c>
      <c r="C7" s="7" t="s">
        <v>118</v>
      </c>
    </row>
    <row r="8" spans="1:7" ht="16" x14ac:dyDescent="0.25">
      <c r="A8" s="10" t="s">
        <v>93</v>
      </c>
      <c r="B8" s="28">
        <v>0.3</v>
      </c>
      <c r="C8" s="7" t="s">
        <v>118</v>
      </c>
    </row>
    <row r="10" spans="1:7" ht="16" x14ac:dyDescent="0.2">
      <c r="A10" s="6" t="s">
        <v>56</v>
      </c>
      <c r="B10" s="6" t="s">
        <v>57</v>
      </c>
      <c r="C10" s="6" t="s">
        <v>119</v>
      </c>
      <c r="D10" s="6" t="s">
        <v>120</v>
      </c>
      <c r="E10" s="6" t="s">
        <v>121</v>
      </c>
      <c r="F10" s="6" t="s">
        <v>122</v>
      </c>
      <c r="G10" s="6" t="s">
        <v>123</v>
      </c>
    </row>
    <row r="11" spans="1:7" ht="16" x14ac:dyDescent="0.2">
      <c r="A11" s="21">
        <v>1</v>
      </c>
      <c r="B11" s="14" t="str">
        <f>Normalisasi!B11</f>
        <v>Canon M10</v>
      </c>
      <c r="C11" s="26">
        <f>Normalisasi!C11*$B$5</f>
        <v>2.2093196455083786E-2</v>
      </c>
      <c r="D11" s="26">
        <f>Normalisasi!D11*$B$6</f>
        <v>1.9934122479534355E-2</v>
      </c>
      <c r="E11" s="26">
        <f>Normalisasi!E11*$B$7</f>
        <v>1.6822900113832709E-2</v>
      </c>
      <c r="F11" s="26">
        <f>Normalisasi!F11*$B$8</f>
        <v>6.6110997752158659E-2</v>
      </c>
      <c r="G11" s="14" t="str">
        <f t="shared" ref="G11:G29" si="0">"y = [" &amp; ROUND(C11, 4) &amp; "; " &amp; ROUND(D11, 4) &amp; "; " &amp; ROUND(E11, 4) &amp; "; " &amp; ROUND(F11, 4) &amp; "]"</f>
        <v>y = [0,0221; 0,0199; 0,0168; 0,0661]</v>
      </c>
    </row>
    <row r="12" spans="1:7" ht="16" x14ac:dyDescent="0.2">
      <c r="A12" s="23">
        <v>2</v>
      </c>
      <c r="B12" s="18" t="str">
        <f>Normalisasi!B12</f>
        <v>Sony A5000</v>
      </c>
      <c r="C12" s="27">
        <f>Normalisasi!C12*$B$5</f>
        <v>2.0515110994006373E-2</v>
      </c>
      <c r="D12" s="27">
        <f>Normalisasi!D12*$B$6</f>
        <v>1.9934122479534355E-2</v>
      </c>
      <c r="E12" s="27">
        <f>Normalisasi!E12*$B$7</f>
        <v>8.4114500569163544E-3</v>
      </c>
      <c r="F12" s="27">
        <f>Normalisasi!F12*$B$8</f>
        <v>6.6110997752158659E-2</v>
      </c>
      <c r="G12" s="18" t="str">
        <f t="shared" si="0"/>
        <v>y = [0,0205; 0,0199; 0,0084; 0,0661]</v>
      </c>
    </row>
    <row r="13" spans="1:7" ht="16" x14ac:dyDescent="0.2">
      <c r="A13" s="21">
        <v>3</v>
      </c>
      <c r="B13" s="14" t="str">
        <f>Normalisasi!B13</f>
        <v>Canon M3</v>
      </c>
      <c r="C13" s="26">
        <f>Normalisasi!C13*$B$5</f>
        <v>1.8937025532928958E-2</v>
      </c>
      <c r="D13" s="26">
        <f>Normalisasi!D13*$B$6</f>
        <v>1.9934122479534355E-2</v>
      </c>
      <c r="E13" s="26">
        <f>Normalisasi!E13*$B$7</f>
        <v>1.6822900113832709E-2</v>
      </c>
      <c r="F13" s="26">
        <f>Normalisasi!F13*$B$8</f>
        <v>6.6110997752158659E-2</v>
      </c>
      <c r="G13" s="14" t="str">
        <f t="shared" si="0"/>
        <v>y = [0,0189; 0,0199; 0,0168; 0,0661]</v>
      </c>
    </row>
    <row r="14" spans="1:7" ht="16" x14ac:dyDescent="0.2">
      <c r="A14" s="23">
        <v>4</v>
      </c>
      <c r="B14" s="18" t="str">
        <f>Normalisasi!B14</f>
        <v>Sony A6000</v>
      </c>
      <c r="C14" s="27">
        <f>Normalisasi!C14*$B$5</f>
        <v>1.7358940071851545E-2</v>
      </c>
      <c r="D14" s="27">
        <f>Normalisasi!D14*$B$6</f>
        <v>1.9934122479534355E-2</v>
      </c>
      <c r="E14" s="27">
        <f>Normalisasi!E14*$B$7</f>
        <v>5.8880150398414474E-2</v>
      </c>
      <c r="F14" s="27">
        <f>Normalisasi!F14*$B$8</f>
        <v>6.6110997752158659E-2</v>
      </c>
      <c r="G14" s="18" t="str">
        <f t="shared" si="0"/>
        <v>y = [0,0174; 0,0199; 0,0589; 0,0661]</v>
      </c>
    </row>
    <row r="15" spans="1:7" ht="16" x14ac:dyDescent="0.2">
      <c r="A15" s="21">
        <v>5</v>
      </c>
      <c r="B15" s="14" t="str">
        <f>Normalisasi!B15</f>
        <v>Canon M50</v>
      </c>
      <c r="C15" s="26">
        <f>Normalisasi!C15*$B$5</f>
        <v>1.3939754906183816E-2</v>
      </c>
      <c r="D15" s="26">
        <f>Normalisasi!D15*$B$6</f>
        <v>3.986824495906871E-2</v>
      </c>
      <c r="E15" s="26">
        <f>Normalisasi!E15*$B$7</f>
        <v>4.7664883655859344E-2</v>
      </c>
      <c r="F15" s="26">
        <f>Normalisasi!F15*$B$8</f>
        <v>6.6110997752158659E-2</v>
      </c>
      <c r="G15" s="14" t="str">
        <f t="shared" si="0"/>
        <v>y = [0,0139; 0,0399; 0,0477; 0,0661]</v>
      </c>
    </row>
    <row r="16" spans="1:7" ht="16" x14ac:dyDescent="0.2">
      <c r="A16" s="23">
        <v>6</v>
      </c>
      <c r="B16" s="18" t="str">
        <f>Normalisasi!B16</f>
        <v>Sony A6300</v>
      </c>
      <c r="C16" s="27">
        <f>Normalisasi!C16*$B$5</f>
        <v>9.9945412534902835E-3</v>
      </c>
      <c r="D16" s="27">
        <f>Normalisasi!D16*$B$6</f>
        <v>3.986824495906871E-2</v>
      </c>
      <c r="E16" s="27">
        <f>Normalisasi!E16*$B$7</f>
        <v>0.14019083428193924</v>
      </c>
      <c r="F16" s="27">
        <f>Normalisasi!F16*$B$8</f>
        <v>6.6110997752158659E-2</v>
      </c>
      <c r="G16" s="18" t="str">
        <f t="shared" si="0"/>
        <v>y = [0,01; 0,0399; 0,1402; 0,0661]</v>
      </c>
    </row>
    <row r="17" spans="1:7" ht="16" x14ac:dyDescent="0.2">
      <c r="A17" s="21">
        <v>7</v>
      </c>
      <c r="B17" s="14" t="str">
        <f>Normalisasi!B17</f>
        <v>Fujifilm XA3</v>
      </c>
      <c r="C17" s="26">
        <f>Normalisasi!C17*$B$5</f>
        <v>2.2093196455083786E-2</v>
      </c>
      <c r="D17" s="26">
        <f>Normalisasi!D17*$B$6</f>
        <v>1.9934122479534355E-2</v>
      </c>
      <c r="E17" s="26">
        <f>Normalisasi!E17*$B$7</f>
        <v>2.523435017074906E-2</v>
      </c>
      <c r="F17" s="26">
        <f>Normalisasi!F17*$B$8</f>
        <v>6.6110997752158659E-2</v>
      </c>
      <c r="G17" s="14" t="str">
        <f t="shared" si="0"/>
        <v>y = [0,0221; 0,0199; 0,0252; 0,0661]</v>
      </c>
    </row>
    <row r="18" spans="1:7" ht="16" x14ac:dyDescent="0.2">
      <c r="A18" s="23">
        <v>8</v>
      </c>
      <c r="B18" s="18" t="str">
        <f>Normalisasi!B18</f>
        <v>Sony A6400</v>
      </c>
      <c r="C18" s="27">
        <f>Normalisasi!C18*$B$5</f>
        <v>4.9972706267451417E-3</v>
      </c>
      <c r="D18" s="27">
        <f>Normalisasi!D18*$B$6</f>
        <v>3.986824495906871E-2</v>
      </c>
      <c r="E18" s="27">
        <f>Normalisasi!E18*$B$7</f>
        <v>0.14019083428193924</v>
      </c>
      <c r="F18" s="27">
        <f>Normalisasi!F18*$B$8</f>
        <v>6.6110997752158659E-2</v>
      </c>
      <c r="G18" s="18" t="str">
        <f t="shared" si="0"/>
        <v>y = [0,005; 0,0399; 0,1402; 0,0661]</v>
      </c>
    </row>
    <row r="19" spans="1:7" ht="16" x14ac:dyDescent="0.2">
      <c r="A19" s="21">
        <v>9</v>
      </c>
      <c r="B19" s="14" t="str">
        <f>Normalisasi!B19</f>
        <v>Fujifilm XA5</v>
      </c>
      <c r="C19" s="26">
        <f>Normalisasi!C19*$B$5</f>
        <v>2.0515110994006373E-2</v>
      </c>
      <c r="D19" s="26">
        <f>Normalisasi!D19*$B$6</f>
        <v>1.9934122479534355E-2</v>
      </c>
      <c r="E19" s="26">
        <f>Normalisasi!E19*$B$7</f>
        <v>2.523435017074906E-2</v>
      </c>
      <c r="F19" s="26">
        <f>Normalisasi!F19*$B$8</f>
        <v>6.6110997752158659E-2</v>
      </c>
      <c r="G19" s="14" t="str">
        <f t="shared" si="0"/>
        <v>y = [0,0205; 0,0199; 0,0252; 0,0661]</v>
      </c>
    </row>
    <row r="20" spans="1:7" ht="16" x14ac:dyDescent="0.2">
      <c r="A20" s="23">
        <v>10</v>
      </c>
      <c r="B20" s="18" t="str">
        <f>Normalisasi!B20</f>
        <v>Nikon J5</v>
      </c>
      <c r="C20" s="27">
        <f>Normalisasi!C20*$B$5</f>
        <v>2.3145253429135391E-2</v>
      </c>
      <c r="D20" s="27">
        <f>Normalisasi!D20*$B$6</f>
        <v>1.0365743689357866E-2</v>
      </c>
      <c r="E20" s="27">
        <f>Normalisasi!E20*$B$7</f>
        <v>5.6076333712775699E-2</v>
      </c>
      <c r="F20" s="27">
        <f>Normalisasi!F20*$B$8</f>
        <v>4.7222141251541894E-2</v>
      </c>
      <c r="G20" s="18" t="str">
        <f t="shared" si="0"/>
        <v>y = [0,0231; 0,0104; 0,0561; 0,0472]</v>
      </c>
    </row>
    <row r="21" spans="1:7" ht="16" x14ac:dyDescent="0.2">
      <c r="A21" s="21">
        <v>11</v>
      </c>
      <c r="B21" s="14" t="str">
        <f>Normalisasi!B21</f>
        <v>Fujifilm XT20</v>
      </c>
      <c r="C21" s="26">
        <f>Normalisasi!C21*$B$5</f>
        <v>1.1572626714567696E-2</v>
      </c>
      <c r="D21" s="26">
        <f>Normalisasi!D21*$B$6</f>
        <v>3.986824495906871E-2</v>
      </c>
      <c r="E21" s="26">
        <f>Normalisasi!E21*$B$7</f>
        <v>0.10654503405427382</v>
      </c>
      <c r="F21" s="26">
        <f>Normalisasi!F21*$B$8</f>
        <v>6.6110997752158659E-2</v>
      </c>
      <c r="G21" s="14" t="str">
        <f t="shared" si="0"/>
        <v>y = [0,0116; 0,0399; 0,1065; 0,0661]</v>
      </c>
    </row>
    <row r="22" spans="1:7" ht="16" x14ac:dyDescent="0.2">
      <c r="A22" s="23">
        <v>12</v>
      </c>
      <c r="B22" s="18" t="str">
        <f>Normalisasi!B22</f>
        <v>Canon 500D</v>
      </c>
      <c r="C22" s="27">
        <f>Normalisasi!C22*$B$5</f>
        <v>0.2630142435129022</v>
      </c>
      <c r="D22" s="27">
        <f>Normalisasi!D22*$B$6</f>
        <v>1.0365743689357866E-2</v>
      </c>
      <c r="E22" s="27">
        <f>Normalisasi!E22*$B$7</f>
        <v>2.8038166856387847E-3</v>
      </c>
      <c r="F22" s="27">
        <f>Normalisasi!F22*$B$8</f>
        <v>6.6110997752158659E-2</v>
      </c>
      <c r="G22" s="18" t="str">
        <f t="shared" si="0"/>
        <v>y = [0,263; 0,0104; 0,0028; 0,0661]</v>
      </c>
    </row>
    <row r="23" spans="1:7" ht="16" x14ac:dyDescent="0.2">
      <c r="A23" s="21">
        <v>13</v>
      </c>
      <c r="B23" s="14" t="str">
        <f>Normalisasi!B23</f>
        <v>Canon 60D</v>
      </c>
      <c r="C23" s="26">
        <f>Normalisasi!C23*$B$5</f>
        <v>1.8937025532928958E-2</v>
      </c>
      <c r="D23" s="26">
        <f>Normalisasi!D23*$B$6</f>
        <v>1.0365743689357866E-2</v>
      </c>
      <c r="E23" s="26">
        <f>Normalisasi!E23*$B$7</f>
        <v>2.8038166856387847E-3</v>
      </c>
      <c r="F23" s="26">
        <f>Normalisasi!F23*$B$8</f>
        <v>6.6110997752158659E-2</v>
      </c>
      <c r="G23" s="14" t="str">
        <f t="shared" si="0"/>
        <v>y = [0,0189; 0,0104; 0,0028; 0,0661]</v>
      </c>
    </row>
    <row r="24" spans="1:7" ht="16" x14ac:dyDescent="0.2">
      <c r="A24" s="23">
        <v>14</v>
      </c>
      <c r="B24" s="18" t="str">
        <f>Normalisasi!B24</f>
        <v>Canon 1100D</v>
      </c>
      <c r="C24" s="27">
        <f>Normalisasi!C24*$B$5</f>
        <v>2.6301424351290223E-2</v>
      </c>
      <c r="D24" s="27">
        <f>Normalisasi!D24*$B$6</f>
        <v>1.0365743689357866E-2</v>
      </c>
      <c r="E24" s="27">
        <f>Normalisasi!E24*$B$7</f>
        <v>2.8038166856387847E-3</v>
      </c>
      <c r="F24" s="27">
        <f>Normalisasi!F24*$B$8</f>
        <v>6.6110997752158659E-2</v>
      </c>
      <c r="G24" s="18" t="str">
        <f t="shared" si="0"/>
        <v>y = [0,0263; 0,0104; 0,0028; 0,0661]</v>
      </c>
    </row>
    <row r="25" spans="1:7" ht="16" x14ac:dyDescent="0.2">
      <c r="A25" s="21">
        <v>15</v>
      </c>
      <c r="B25" s="14" t="str">
        <f>Normalisasi!B25</f>
        <v>Canon 80D</v>
      </c>
      <c r="C25" s="26">
        <f>Normalisasi!C25*$B$5</f>
        <v>0.12335368020755114</v>
      </c>
      <c r="D25" s="26">
        <f>Normalisasi!D25*$B$6</f>
        <v>1.9934122479534355E-2</v>
      </c>
      <c r="E25" s="26">
        <f>Normalisasi!E25*$B$7</f>
        <v>1.5420991771013316E-2</v>
      </c>
      <c r="F25" s="26">
        <f>Normalisasi!F25*$B$8</f>
        <v>6.6110997752158659E-2</v>
      </c>
      <c r="G25" s="14" t="str">
        <f t="shared" si="0"/>
        <v>y = [0,1234; 0,0199; 0,0154; 0,0661]</v>
      </c>
    </row>
    <row r="26" spans="1:7" ht="16" x14ac:dyDescent="0.2">
      <c r="A26" s="23">
        <v>16</v>
      </c>
      <c r="B26" s="18" t="str">
        <f>Normalisasi!B26</f>
        <v>Canon 600D</v>
      </c>
      <c r="C26" s="27">
        <f>Normalisasi!C26*$B$5</f>
        <v>2.2093196455083786E-2</v>
      </c>
      <c r="D26" s="27">
        <f>Normalisasi!D26*$B$6</f>
        <v>1.0365743689357866E-2</v>
      </c>
      <c r="E26" s="27">
        <f>Normalisasi!E26*$B$7</f>
        <v>2.8038166856387847E-3</v>
      </c>
      <c r="F26" s="27">
        <f>Normalisasi!F26*$B$8</f>
        <v>6.6110997752158659E-2</v>
      </c>
      <c r="G26" s="18" t="str">
        <f t="shared" si="0"/>
        <v>y = [0,0221; 0,0104; 0,0028; 0,0661]</v>
      </c>
    </row>
    <row r="27" spans="1:7" ht="16" x14ac:dyDescent="0.2">
      <c r="A27" s="21">
        <v>17</v>
      </c>
      <c r="B27" s="14" t="str">
        <f>Normalisasi!B27</f>
        <v>Canon 6D</v>
      </c>
      <c r="C27" s="26">
        <f>Normalisasi!C27*$B$5</f>
        <v>8.153441548899968E-3</v>
      </c>
      <c r="D27" s="26">
        <f>Normalisasi!D27*$B$6</f>
        <v>7.9736489918137421E-2</v>
      </c>
      <c r="E27" s="26">
        <f>Normalisasi!E27*$B$7</f>
        <v>1.9626716799471495E-2</v>
      </c>
      <c r="F27" s="26">
        <f>Normalisasi!F27*$B$8</f>
        <v>9.4444282503083787E-2</v>
      </c>
      <c r="G27" s="14" t="str">
        <f t="shared" si="0"/>
        <v>y = [0,0082; 0,0797; 0,0196; 0,0944]</v>
      </c>
    </row>
    <row r="28" spans="1:7" ht="16" x14ac:dyDescent="0.2">
      <c r="A28" s="23">
        <v>18</v>
      </c>
      <c r="B28" s="18" t="str">
        <f>Normalisasi!B28</f>
        <v>Canon 550D</v>
      </c>
      <c r="C28" s="27">
        <f>Normalisasi!C28*$B$5</f>
        <v>2.3145253429135391E-2</v>
      </c>
      <c r="D28" s="27">
        <f>Normalisasi!D28*$B$6</f>
        <v>1.0365743689357866E-2</v>
      </c>
      <c r="E28" s="27">
        <f>Normalisasi!E28*$B$7</f>
        <v>2.8038166856387847E-3</v>
      </c>
      <c r="F28" s="27">
        <f>Normalisasi!F28*$B$8</f>
        <v>6.6110997752158659E-2</v>
      </c>
      <c r="G28" s="18" t="str">
        <f t="shared" si="0"/>
        <v>y = [0,0231; 0,0104; 0,0028; 0,0661]</v>
      </c>
    </row>
    <row r="29" spans="1:7" ht="16" x14ac:dyDescent="0.2">
      <c r="A29" s="21">
        <v>19</v>
      </c>
      <c r="B29" s="14" t="str">
        <f>Normalisasi!B29</f>
        <v>Canon 5D Mark III</v>
      </c>
      <c r="C29" s="26">
        <f>Normalisasi!C29*$B$5</f>
        <v>0</v>
      </c>
      <c r="D29" s="26">
        <f>Normalisasi!D29*$B$6</f>
        <v>7.9736489918137421E-2</v>
      </c>
      <c r="E29" s="26">
        <f>Normalisasi!E29*$B$7</f>
        <v>1.9626716799471495E-2</v>
      </c>
      <c r="F29" s="26">
        <f>Normalisasi!F29*$B$8</f>
        <v>9.4444282503083787E-2</v>
      </c>
      <c r="G29" s="14" t="str">
        <f t="shared" si="0"/>
        <v>y = [0; 0,0797; 0,0196; 0,0944]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"/>
  <sheetViews>
    <sheetView workbookViewId="0"/>
  </sheetViews>
  <sheetFormatPr baseColWidth="10" defaultColWidth="8.83203125" defaultRowHeight="15" x14ac:dyDescent="0.2"/>
  <cols>
    <col min="1" max="1" width="110" customWidth="1"/>
    <col min="2" max="2" width="20" customWidth="1"/>
    <col min="3" max="4" width="29" customWidth="1"/>
    <col min="5" max="5" width="24" customWidth="1"/>
    <col min="6" max="6" width="26" customWidth="1"/>
  </cols>
  <sheetData>
    <row r="1" spans="1:6" ht="23" x14ac:dyDescent="0.3">
      <c r="A1" s="1" t="s">
        <v>124</v>
      </c>
    </row>
    <row r="2" spans="1:6" ht="16" x14ac:dyDescent="0.25">
      <c r="A2" s="2" t="s">
        <v>125</v>
      </c>
    </row>
    <row r="4" spans="1:6" ht="16" x14ac:dyDescent="0.2">
      <c r="A4" s="6" t="s">
        <v>114</v>
      </c>
      <c r="B4" s="6" t="s">
        <v>126</v>
      </c>
      <c r="C4" s="6" t="s">
        <v>127</v>
      </c>
      <c r="D4" s="6" t="s">
        <v>128</v>
      </c>
    </row>
    <row r="5" spans="1:6" ht="16" x14ac:dyDescent="0.25">
      <c r="A5" s="10" t="s">
        <v>90</v>
      </c>
      <c r="B5" s="7" t="s">
        <v>117</v>
      </c>
      <c r="C5" s="25">
        <f>MIN(Terbobot!$C$11:$C$29)</f>
        <v>0</v>
      </c>
      <c r="D5" s="25">
        <f>MAX(Terbobot!$C$11:$C$29)</f>
        <v>0.2630142435129022</v>
      </c>
    </row>
    <row r="6" spans="1:6" ht="16" x14ac:dyDescent="0.25">
      <c r="A6" s="10" t="s">
        <v>91</v>
      </c>
      <c r="B6" s="7" t="s">
        <v>118</v>
      </c>
      <c r="C6" s="25">
        <f>MAX(Terbobot!$D$11:$D$29)</f>
        <v>7.9736489918137421E-2</v>
      </c>
      <c r="D6" s="25">
        <f>MIN(Terbobot!$D$11:$D$29)</f>
        <v>1.0365743689357866E-2</v>
      </c>
    </row>
    <row r="7" spans="1:6" ht="16" x14ac:dyDescent="0.25">
      <c r="A7" s="10" t="s">
        <v>92</v>
      </c>
      <c r="B7" s="7" t="s">
        <v>118</v>
      </c>
      <c r="C7" s="25">
        <f>MAX(Terbobot!$E$11:$E$29)</f>
        <v>0.14019083428193924</v>
      </c>
      <c r="D7" s="25">
        <f>MIN(Terbobot!$E$11:$E$29)</f>
        <v>2.8038166856387847E-3</v>
      </c>
    </row>
    <row r="8" spans="1:6" ht="16" x14ac:dyDescent="0.25">
      <c r="A8" s="10" t="s">
        <v>93</v>
      </c>
      <c r="B8" s="7" t="s">
        <v>118</v>
      </c>
      <c r="C8" s="25">
        <f>MAX(Terbobot!$F$11:$F$29)</f>
        <v>9.4444282503083787E-2</v>
      </c>
      <c r="D8" s="25">
        <f>MIN(Terbobot!$F$11:$F$29)</f>
        <v>4.7222141251541894E-2</v>
      </c>
    </row>
    <row r="10" spans="1:6" ht="16" x14ac:dyDescent="0.2">
      <c r="A10" s="6" t="s">
        <v>56</v>
      </c>
      <c r="B10" s="6" t="s">
        <v>57</v>
      </c>
      <c r="C10" s="6" t="s">
        <v>129</v>
      </c>
      <c r="D10" s="6" t="s">
        <v>130</v>
      </c>
      <c r="E10" s="6" t="s">
        <v>131</v>
      </c>
      <c r="F10" s="6" t="s">
        <v>132</v>
      </c>
    </row>
    <row r="11" spans="1:6" ht="16" x14ac:dyDescent="0.2">
      <c r="A11" s="21">
        <v>1</v>
      </c>
      <c r="B11" s="14" t="str">
        <f>Terbobot!B11</f>
        <v>Canon M10</v>
      </c>
      <c r="C11" s="26">
        <f>SQRT((Terbobot!C11-$C$5)^2 + (Terbobot!D11-$C$6)^2 + (Terbobot!E11-$C$7)^2 + (Terbobot!F11-$C$8)^2)</f>
        <v>0.14172810125923471</v>
      </c>
      <c r="D11" s="26">
        <f>SQRT((Terbobot!C11-$D$5)^2 + (Terbobot!D11-$D$6)^2 + (Terbobot!E11-$D$7)^2 + (Terbobot!F11-$D$8)^2)</f>
        <v>0.24225570868026083</v>
      </c>
      <c r="E11" s="26">
        <f t="shared" ref="E11:E29" si="0">D11/(C11+D11)</f>
        <v>0.63090084115377976</v>
      </c>
      <c r="F11" s="14" t="str">
        <f t="shared" ref="F11:F29" si="1">"D+ = " &amp; ROUND(C11, 4) &amp; "; D- = " &amp; ROUND(D11, 4) &amp; "; V = " &amp; ROUND(E11, 4)</f>
        <v>D+ = 0,1417; D- = 0,2423; V = 0,6309</v>
      </c>
    </row>
    <row r="12" spans="1:6" ht="16" x14ac:dyDescent="0.2">
      <c r="A12" s="23">
        <v>2</v>
      </c>
      <c r="B12" s="18" t="str">
        <f>Terbobot!B12</f>
        <v>Sony A5000</v>
      </c>
      <c r="C12" s="27">
        <f>SQRT((Terbobot!C12-$C$5)^2 + (Terbobot!D12-$C$6)^2 + (Terbobot!E12-$C$7)^2 + (Terbobot!F12-$C$8)^2)</f>
        <v>0.1488817452270805</v>
      </c>
      <c r="D12" s="27">
        <f>SQRT((Terbobot!C12-$D$5)^2 + (Terbobot!D12-$D$6)^2 + (Terbobot!E12-$D$7)^2 + (Terbobot!F12-$D$8)^2)</f>
        <v>0.24348638072183185</v>
      </c>
      <c r="E12" s="27">
        <f t="shared" si="0"/>
        <v>0.62055596420575354</v>
      </c>
      <c r="F12" s="18" t="str">
        <f t="shared" si="1"/>
        <v>D+ = 0,1489; D- = 0,2435; V = 0,6206</v>
      </c>
    </row>
    <row r="13" spans="1:6" ht="16" x14ac:dyDescent="0.2">
      <c r="A13" s="21">
        <v>3</v>
      </c>
      <c r="B13" s="14" t="str">
        <f>Terbobot!B13</f>
        <v>Canon M3</v>
      </c>
      <c r="C13" s="26">
        <f>SQRT((Terbobot!C13-$C$5)^2 + (Terbobot!D13-$C$6)^2 + (Terbobot!E13-$C$7)^2 + (Terbobot!F13-$C$8)^2)</f>
        <v>0.14127050751299708</v>
      </c>
      <c r="D13" s="26">
        <f>SQRT((Terbobot!C13-$D$5)^2 + (Terbobot!D13-$D$6)^2 + (Terbobot!E13-$D$7)^2 + (Terbobot!F13-$D$8)^2)</f>
        <v>0.24539471430652948</v>
      </c>
      <c r="E13" s="26">
        <f t="shared" si="0"/>
        <v>0.63464387397392008</v>
      </c>
      <c r="F13" s="14" t="str">
        <f t="shared" si="1"/>
        <v>D+ = 0,1413; D- = 0,2454; V = 0,6346</v>
      </c>
    </row>
    <row r="14" spans="1:6" ht="16" x14ac:dyDescent="0.2">
      <c r="A14" s="23">
        <v>4</v>
      </c>
      <c r="B14" s="18" t="str">
        <f>Terbobot!B14</f>
        <v>Sony A6000</v>
      </c>
      <c r="C14" s="27">
        <f>SQRT((Terbobot!C14-$C$5)^2 + (Terbobot!D14-$C$6)^2 + (Terbobot!E14-$C$7)^2 + (Terbobot!F14-$C$8)^2)</f>
        <v>0.10626315584464507</v>
      </c>
      <c r="D14" s="27">
        <f>SQRT((Terbobot!C14-$D$5)^2 + (Terbobot!D14-$D$6)^2 + (Terbobot!E14-$D$7)^2 + (Terbobot!F14-$D$8)^2)</f>
        <v>0.25286246475891677</v>
      </c>
      <c r="E14" s="27">
        <f t="shared" si="0"/>
        <v>0.70410589011707192</v>
      </c>
      <c r="F14" s="18" t="str">
        <f t="shared" si="1"/>
        <v>D+ = 0,1063; D- = 0,2529; V = 0,7041</v>
      </c>
    </row>
    <row r="15" spans="1:6" ht="16" x14ac:dyDescent="0.2">
      <c r="A15" s="21">
        <v>5</v>
      </c>
      <c r="B15" s="14" t="str">
        <f>Terbobot!B15</f>
        <v>Canon M50</v>
      </c>
      <c r="C15" s="26">
        <f>SQRT((Terbobot!C15-$C$5)^2 + (Terbobot!D15-$C$6)^2 + (Terbobot!E15-$C$7)^2 + (Terbobot!F15-$C$8)^2)</f>
        <v>0.10558229154075775</v>
      </c>
      <c r="D15" s="26">
        <f>SQRT((Terbobot!C15-$D$5)^2 + (Terbobot!D15-$D$6)^2 + (Terbobot!E15-$D$7)^2 + (Terbobot!F15-$D$8)^2)</f>
        <v>0.25549521068989745</v>
      </c>
      <c r="E15" s="26">
        <f t="shared" si="0"/>
        <v>0.70759105486081453</v>
      </c>
      <c r="F15" s="14" t="str">
        <f t="shared" si="1"/>
        <v>D+ = 0,1056; D- = 0,2555; V = 0,7076</v>
      </c>
    </row>
    <row r="16" spans="1:6" ht="16" x14ac:dyDescent="0.2">
      <c r="A16" s="23">
        <v>6</v>
      </c>
      <c r="B16" s="18" t="str">
        <f>Terbobot!B16</f>
        <v>Sony A6300</v>
      </c>
      <c r="C16" s="27">
        <f>SQRT((Terbobot!C16-$C$5)^2 + (Terbobot!D16-$C$6)^2 + (Terbobot!E16-$C$7)^2 + (Terbobot!F16-$C$8)^2)</f>
        <v>4.9921366525377021E-2</v>
      </c>
      <c r="D16" s="27">
        <f>SQRT((Terbobot!C16-$D$5)^2 + (Terbobot!D16-$D$6)^2 + (Terbobot!E16-$D$7)^2 + (Terbobot!F16-$D$8)^2)</f>
        <v>0.29003680596868703</v>
      </c>
      <c r="E16" s="27">
        <f t="shared" si="0"/>
        <v>0.85315438614364036</v>
      </c>
      <c r="F16" s="18" t="str">
        <f t="shared" si="1"/>
        <v>D+ = 0,0499; D- = 0,29; V = 0,8532</v>
      </c>
    </row>
    <row r="17" spans="1:6" ht="16" x14ac:dyDescent="0.2">
      <c r="A17" s="21">
        <v>7</v>
      </c>
      <c r="B17" s="14" t="str">
        <f>Terbobot!B17</f>
        <v>Fujifilm XA3</v>
      </c>
      <c r="C17" s="26">
        <f>SQRT((Terbobot!C17-$C$5)^2 + (Terbobot!D17-$C$6)^2 + (Terbobot!E17-$C$7)^2 + (Terbobot!F17-$C$8)^2)</f>
        <v>0.13447007378910725</v>
      </c>
      <c r="D17" s="26">
        <f>SQRT((Terbobot!C17-$D$5)^2 + (Terbobot!D17-$D$6)^2 + (Terbobot!E17-$D$7)^2 + (Terbobot!F17-$D$8)^2)</f>
        <v>0.24288767469848158</v>
      </c>
      <c r="E17" s="26">
        <f t="shared" si="0"/>
        <v>0.64365360370086599</v>
      </c>
      <c r="F17" s="14" t="str">
        <f t="shared" si="1"/>
        <v>D+ = 0,1345; D- = 0,2429; V = 0,6437</v>
      </c>
    </row>
    <row r="18" spans="1:6" ht="16" x14ac:dyDescent="0.2">
      <c r="A18" s="23">
        <v>8</v>
      </c>
      <c r="B18" s="18" t="str">
        <f>Terbobot!B18</f>
        <v>Sony A6400</v>
      </c>
      <c r="C18" s="27">
        <f>SQRT((Terbobot!C18-$C$5)^2 + (Terbobot!D18-$C$6)^2 + (Terbobot!E18-$C$7)^2 + (Terbobot!F18-$C$8)^2)</f>
        <v>4.9165279360644784E-2</v>
      </c>
      <c r="D18" s="27">
        <f>SQRT((Terbobot!C18-$D$5)^2 + (Terbobot!D18-$D$6)^2 + (Terbobot!E18-$D$7)^2 + (Terbobot!F18-$D$8)^2)</f>
        <v>0.29440641532142642</v>
      </c>
      <c r="E18" s="27">
        <f t="shared" si="0"/>
        <v>0.85689950562970396</v>
      </c>
      <c r="F18" s="18" t="str">
        <f t="shared" si="1"/>
        <v>D+ = 0,0492; D- = 0,2944; V = 0,8569</v>
      </c>
    </row>
    <row r="19" spans="1:6" ht="16" x14ac:dyDescent="0.2">
      <c r="A19" s="21">
        <v>9</v>
      </c>
      <c r="B19" s="14" t="str">
        <f>Terbobot!B19</f>
        <v>Fujifilm XA5</v>
      </c>
      <c r="C19" s="26">
        <f>SQRT((Terbobot!C19-$C$5)^2 + (Terbobot!D19-$C$6)^2 + (Terbobot!E19-$C$7)^2 + (Terbobot!F19-$C$8)^2)</f>
        <v>0.13421982414807965</v>
      </c>
      <c r="D19" s="26">
        <f>SQRT((Terbobot!C19-$D$5)^2 + (Terbobot!D19-$D$6)^2 + (Terbobot!E19-$D$7)^2 + (Terbobot!F19-$D$8)^2)</f>
        <v>0.2444530647740315</v>
      </c>
      <c r="E19" s="26">
        <f t="shared" si="0"/>
        <v>0.64555206333853177</v>
      </c>
      <c r="F19" s="14" t="str">
        <f t="shared" si="1"/>
        <v>D+ = 0,1342; D- = 0,2445; V = 0,6456</v>
      </c>
    </row>
    <row r="20" spans="1:6" ht="16" x14ac:dyDescent="0.2">
      <c r="A20" s="23">
        <v>10</v>
      </c>
      <c r="B20" s="18" t="str">
        <f>Terbobot!B20</f>
        <v>Nikon J5</v>
      </c>
      <c r="C20" s="27">
        <f>SQRT((Terbobot!C20-$C$5)^2 + (Terbobot!D20-$C$6)^2 + (Terbobot!E20-$C$7)^2 + (Terbobot!F20-$C$8)^2)</f>
        <v>0.12105033258532182</v>
      </c>
      <c r="D20" s="27">
        <f>SQRT((Terbobot!C20-$D$5)^2 + (Terbobot!D20-$D$6)^2 + (Terbobot!E20-$D$7)^2 + (Terbobot!F20-$D$8)^2)</f>
        <v>0.24571343771599632</v>
      </c>
      <c r="E20" s="27">
        <f t="shared" si="0"/>
        <v>0.66995013578938889</v>
      </c>
      <c r="F20" s="18" t="str">
        <f t="shared" si="1"/>
        <v>D+ = 0,1211; D- = 0,2457; V = 0,67</v>
      </c>
    </row>
    <row r="21" spans="1:6" ht="16" x14ac:dyDescent="0.2">
      <c r="A21" s="21">
        <v>11</v>
      </c>
      <c r="B21" s="14" t="str">
        <f>Terbobot!B21</f>
        <v>Fujifilm XT20</v>
      </c>
      <c r="C21" s="26">
        <f>SQRT((Terbobot!C21-$C$5)^2 + (Terbobot!D21-$C$6)^2 + (Terbobot!E21-$C$7)^2 + (Terbobot!F21-$C$8)^2)</f>
        <v>6.0483200501693112E-2</v>
      </c>
      <c r="D21" s="26">
        <f>SQRT((Terbobot!C21-$D$5)^2 + (Terbobot!D21-$D$6)^2 + (Terbobot!E21-$D$7)^2 + (Terbobot!F21-$D$8)^2)</f>
        <v>0.27424863412669359</v>
      </c>
      <c r="E21" s="26">
        <f t="shared" si="0"/>
        <v>0.81930849042535658</v>
      </c>
      <c r="F21" s="14" t="str">
        <f t="shared" si="1"/>
        <v>D+ = 0,0605; D- = 0,2742; V = 0,8193</v>
      </c>
    </row>
    <row r="22" spans="1:6" ht="16" x14ac:dyDescent="0.2">
      <c r="A22" s="23">
        <v>12</v>
      </c>
      <c r="B22" s="18" t="str">
        <f>Terbobot!B22</f>
        <v>Canon 500D</v>
      </c>
      <c r="C22" s="27">
        <f>SQRT((Terbobot!C22-$C$5)^2 + (Terbobot!D22-$C$6)^2 + (Terbobot!E22-$C$7)^2 + (Terbobot!F22-$C$8)^2)</f>
        <v>0.30605025788550666</v>
      </c>
      <c r="D22" s="27">
        <f>SQRT((Terbobot!C22-$D$5)^2 + (Terbobot!D22-$D$6)^2 + (Terbobot!E22-$D$7)^2 + (Terbobot!F22-$D$8)^2)</f>
        <v>1.8888856500616766E-2</v>
      </c>
      <c r="E22" s="27">
        <f t="shared" si="0"/>
        <v>5.8130448642053099E-2</v>
      </c>
      <c r="F22" s="18" t="str">
        <f t="shared" si="1"/>
        <v>D+ = 0,3061; D- = 0,0189; V = 0,0581</v>
      </c>
    </row>
    <row r="23" spans="1:6" ht="16" x14ac:dyDescent="0.2">
      <c r="A23" s="21">
        <v>13</v>
      </c>
      <c r="B23" s="14" t="str">
        <f>Terbobot!B23</f>
        <v>Canon 60D</v>
      </c>
      <c r="C23" s="26">
        <f>SQRT((Terbobot!C23-$C$5)^2 + (Terbobot!D23-$C$6)^2 + (Terbobot!E23-$C$7)^2 + (Terbobot!F23-$C$8)^2)</f>
        <v>0.15763527205912931</v>
      </c>
      <c r="D23" s="26">
        <f>SQRT((Terbobot!C23-$D$5)^2 + (Terbobot!D23-$D$6)^2 + (Terbobot!E23-$D$7)^2 + (Terbobot!F23-$D$8)^2)</f>
        <v>0.24480702039922031</v>
      </c>
      <c r="E23" s="26">
        <f t="shared" si="0"/>
        <v>0.60830341389767428</v>
      </c>
      <c r="F23" s="14" t="str">
        <f t="shared" si="1"/>
        <v>D+ = 0,1576; D- = 0,2448; V = 0,6083</v>
      </c>
    </row>
    <row r="24" spans="1:6" ht="16" x14ac:dyDescent="0.2">
      <c r="A24" s="23">
        <v>14</v>
      </c>
      <c r="B24" s="18" t="str">
        <f>Terbobot!B24</f>
        <v>Canon 1100D</v>
      </c>
      <c r="C24" s="27">
        <f>SQRT((Terbobot!C24-$C$5)^2 + (Terbobot!D24-$C$6)^2 + (Terbobot!E24-$C$7)^2 + (Terbobot!F24-$C$8)^2)</f>
        <v>0.15868847779226933</v>
      </c>
      <c r="D24" s="27">
        <f>SQRT((Terbobot!C24-$D$5)^2 + (Terbobot!D24-$D$6)^2 + (Terbobot!E24-$D$7)^2 + (Terbobot!F24-$D$8)^2)</f>
        <v>0.23746525568036034</v>
      </c>
      <c r="E24" s="27">
        <f t="shared" si="0"/>
        <v>0.59942702949880655</v>
      </c>
      <c r="F24" s="18" t="str">
        <f t="shared" si="1"/>
        <v>D+ = 0,1587; D- = 0,2375; V = 0,5994</v>
      </c>
    </row>
    <row r="25" spans="1:6" ht="16" x14ac:dyDescent="0.2">
      <c r="A25" s="21">
        <v>15</v>
      </c>
      <c r="B25" s="14" t="str">
        <f>Terbobot!B25</f>
        <v>Canon 80D</v>
      </c>
      <c r="C25" s="26">
        <f>SQRT((Terbobot!C25-$C$5)^2 + (Terbobot!D25-$C$6)^2 + (Terbobot!E25-$C$7)^2 + (Terbobot!F25-$C$8)^2)</f>
        <v>0.18751731172610903</v>
      </c>
      <c r="D25" s="26">
        <f>SQRT((Terbobot!C25-$D$5)^2 + (Terbobot!D25-$D$6)^2 + (Terbobot!E25-$D$7)^2 + (Terbobot!F25-$D$8)^2)</f>
        <v>0.14181892970431051</v>
      </c>
      <c r="E25" s="26">
        <f t="shared" si="0"/>
        <v>0.43062047799034381</v>
      </c>
      <c r="F25" s="14" t="str">
        <f t="shared" si="1"/>
        <v>D+ = 0,1875; D- = 0,1418; V = 0,4306</v>
      </c>
    </row>
    <row r="26" spans="1:6" ht="16" x14ac:dyDescent="0.2">
      <c r="A26" s="23">
        <v>16</v>
      </c>
      <c r="B26" s="18" t="str">
        <f>Terbobot!B26</f>
        <v>Canon 600D</v>
      </c>
      <c r="C26" s="27">
        <f>SQRT((Terbobot!C26-$C$5)^2 + (Terbobot!D26-$C$6)^2 + (Terbobot!E26-$C$7)^2 + (Terbobot!F26-$C$8)^2)</f>
        <v>0.15804549152292779</v>
      </c>
      <c r="D26" s="27">
        <f>SQRT((Terbobot!C26-$D$5)^2 + (Terbobot!D26-$D$6)^2 + (Terbobot!E26-$D$7)^2 + (Terbobot!F26-$D$8)^2)</f>
        <v>0.24166038114539265</v>
      </c>
      <c r="E26" s="27">
        <f t="shared" si="0"/>
        <v>0.60459552303331954</v>
      </c>
      <c r="F26" s="18" t="str">
        <f t="shared" si="1"/>
        <v>D+ = 0,158; D- = 0,2417; V = 0,6046</v>
      </c>
    </row>
    <row r="27" spans="1:6" ht="16" x14ac:dyDescent="0.2">
      <c r="A27" s="21">
        <v>17</v>
      </c>
      <c r="B27" s="14" t="str">
        <f>Terbobot!B27</f>
        <v>Canon 6D</v>
      </c>
      <c r="C27" s="26">
        <f>SQRT((Terbobot!C27-$C$5)^2 + (Terbobot!D27-$C$6)^2 + (Terbobot!E27-$C$7)^2 + (Terbobot!F27-$C$8)^2)</f>
        <v>0.12083950113029106</v>
      </c>
      <c r="D27" s="26">
        <f>SQRT((Terbobot!C27-$D$5)^2 + (Terbobot!D27-$D$6)^2 + (Terbobot!E27-$D$7)^2 + (Terbobot!F27-$D$8)^2)</f>
        <v>0.26884804147081426</v>
      </c>
      <c r="E27" s="26">
        <f t="shared" si="0"/>
        <v>0.68990668697360535</v>
      </c>
      <c r="F27" s="14" t="str">
        <f t="shared" si="1"/>
        <v>D+ = 0,1208; D- = 0,2688; V = 0,6899</v>
      </c>
    </row>
    <row r="28" spans="1:6" ht="16" x14ac:dyDescent="0.2">
      <c r="A28" s="23">
        <v>18</v>
      </c>
      <c r="B28" s="18" t="str">
        <f>Terbobot!B28</f>
        <v>Canon 550D</v>
      </c>
      <c r="C28" s="27">
        <f>SQRT((Terbobot!C28-$C$5)^2 + (Terbobot!D28-$C$6)^2 + (Terbobot!E28-$C$7)^2 + (Terbobot!F28-$C$8)^2)</f>
        <v>0.15819598862619688</v>
      </c>
      <c r="D28" s="27">
        <f>SQRT((Terbobot!C28-$D$5)^2 + (Terbobot!D28-$D$6)^2 + (Terbobot!E28-$D$7)^2 + (Terbobot!F28-$D$8)^2)</f>
        <v>0.24061155687893945</v>
      </c>
      <c r="E28" s="27">
        <f t="shared" si="0"/>
        <v>0.6033274936515477</v>
      </c>
      <c r="F28" s="18" t="str">
        <f t="shared" si="1"/>
        <v>D+ = 0,1582; D- = 0,2406; V = 0,6033</v>
      </c>
    </row>
    <row r="29" spans="1:6" ht="16" x14ac:dyDescent="0.2">
      <c r="A29" s="21">
        <v>19</v>
      </c>
      <c r="B29" s="14" t="str">
        <f>Terbobot!B29</f>
        <v>Canon 5D Mark III</v>
      </c>
      <c r="C29" s="26">
        <f>SQRT((Terbobot!C29-$C$5)^2 + (Terbobot!D29-$C$6)^2 + (Terbobot!E29-$C$7)^2 + (Terbobot!F29-$C$8)^2)</f>
        <v>0.12056411748246774</v>
      </c>
      <c r="D29" s="26">
        <f>SQRT((Terbobot!C29-$D$5)^2 + (Terbobot!D29-$D$6)^2 + (Terbobot!E29-$D$7)^2 + (Terbobot!F29-$D$8)^2)</f>
        <v>0.27658946710896737</v>
      </c>
      <c r="E29" s="26">
        <f t="shared" si="0"/>
        <v>0.69642948682813477</v>
      </c>
      <c r="F29" s="14" t="str">
        <f t="shared" si="1"/>
        <v>D+ = 0,1206; D- = 0,2766; V = 0,6964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3"/>
  <sheetViews>
    <sheetView workbookViewId="0"/>
  </sheetViews>
  <sheetFormatPr baseColWidth="10" defaultColWidth="8.83203125" defaultRowHeight="15" x14ac:dyDescent="0.2"/>
  <cols>
    <col min="1" max="1" width="106" customWidth="1"/>
    <col min="2" max="2" width="21" customWidth="1"/>
    <col min="3" max="3" width="20" customWidth="1"/>
    <col min="4" max="4" width="24" customWidth="1"/>
    <col min="5" max="5" width="22" customWidth="1"/>
  </cols>
  <sheetData>
    <row r="1" spans="1:5" ht="23" x14ac:dyDescent="0.3">
      <c r="A1" s="1" t="s">
        <v>133</v>
      </c>
    </row>
    <row r="2" spans="1:5" ht="16" x14ac:dyDescent="0.25">
      <c r="A2" s="2" t="s">
        <v>134</v>
      </c>
    </row>
    <row r="4" spans="1:5" ht="16" x14ac:dyDescent="0.2">
      <c r="A4" s="6" t="s">
        <v>135</v>
      </c>
      <c r="B4" s="6" t="s">
        <v>57</v>
      </c>
      <c r="C4" s="6" t="s">
        <v>58</v>
      </c>
      <c r="D4" s="6" t="s">
        <v>131</v>
      </c>
      <c r="E4" s="6" t="s">
        <v>136</v>
      </c>
    </row>
    <row r="5" spans="1:5" ht="16" x14ac:dyDescent="0.2">
      <c r="A5" s="21">
        <v>1</v>
      </c>
      <c r="B5" s="14" t="s">
        <v>75</v>
      </c>
      <c r="C5" s="14" t="str">
        <f>VLOOKUP(B5, 'Data Awal'!$B$11:$C$29, 2, FALSE)</f>
        <v>Sony</v>
      </c>
      <c r="D5" s="29">
        <f>VLOOKUP(B5, 'Ideal &amp; Jarak'!$B$11:$E$29, 4, FALSE)</f>
        <v>0.85689950562970396</v>
      </c>
      <c r="E5" s="14" t="str">
        <f t="shared" ref="E5:E23" si="0">IF(D5&gt;=0.6, "Sangat direkomendasikan", IF(D5&gt;=0.195, "Cukup direkomendasikan", "Alternatif pendukung"))</f>
        <v>Sangat direkomendasikan</v>
      </c>
    </row>
    <row r="6" spans="1:5" ht="16" x14ac:dyDescent="0.2">
      <c r="A6" s="23">
        <v>2</v>
      </c>
      <c r="B6" s="18" t="s">
        <v>72</v>
      </c>
      <c r="C6" s="18" t="str">
        <f>VLOOKUP(B6, 'Data Awal'!$B$11:$C$29, 2, FALSE)</f>
        <v>Sony</v>
      </c>
      <c r="D6" s="30">
        <f>VLOOKUP(B6, 'Ideal &amp; Jarak'!$B$11:$E$29, 4, FALSE)</f>
        <v>0.85315438614364036</v>
      </c>
      <c r="E6" s="18" t="str">
        <f t="shared" si="0"/>
        <v>Sangat direkomendasikan</v>
      </c>
    </row>
    <row r="7" spans="1:5" ht="16" x14ac:dyDescent="0.2">
      <c r="A7" s="21">
        <v>3</v>
      </c>
      <c r="B7" s="14" t="s">
        <v>79</v>
      </c>
      <c r="C7" s="14" t="str">
        <f>VLOOKUP(B7, 'Data Awal'!$B$11:$C$29, 2, FALSE)</f>
        <v>Fujifilm</v>
      </c>
      <c r="D7" s="29">
        <f>VLOOKUP(B7, 'Ideal &amp; Jarak'!$B$11:$E$29, 4, FALSE)</f>
        <v>0.81930849042535658</v>
      </c>
      <c r="E7" s="14" t="str">
        <f t="shared" si="0"/>
        <v>Sangat direkomendasikan</v>
      </c>
    </row>
    <row r="8" spans="1:5" ht="16" x14ac:dyDescent="0.2">
      <c r="A8" s="23">
        <v>4</v>
      </c>
      <c r="B8" s="18" t="s">
        <v>87</v>
      </c>
      <c r="C8" s="18" t="str">
        <f>VLOOKUP(B8, 'Data Awal'!$B$11:$C$29, 2, FALSE)</f>
        <v>Canon</v>
      </c>
      <c r="D8" s="30">
        <f>VLOOKUP(B8, 'Ideal &amp; Jarak'!$B$11:$E$29, 4, FALSE)</f>
        <v>0.69642948682813477</v>
      </c>
      <c r="E8" s="18" t="str">
        <f t="shared" si="0"/>
        <v>Sangat direkomendasikan</v>
      </c>
    </row>
    <row r="9" spans="1:5" ht="16" x14ac:dyDescent="0.2">
      <c r="A9" s="21">
        <v>5</v>
      </c>
      <c r="B9" s="14" t="s">
        <v>85</v>
      </c>
      <c r="C9" s="14" t="str">
        <f>VLOOKUP(B9, 'Data Awal'!$B$11:$C$29, 2, FALSE)</f>
        <v>Canon</v>
      </c>
      <c r="D9" s="29">
        <f>VLOOKUP(B9, 'Ideal &amp; Jarak'!$B$11:$E$29, 4, FALSE)</f>
        <v>0.68990668697360535</v>
      </c>
      <c r="E9" s="14" t="str">
        <f t="shared" si="0"/>
        <v>Sangat direkomendasikan</v>
      </c>
    </row>
    <row r="10" spans="1:5" ht="16" x14ac:dyDescent="0.2">
      <c r="A10" s="23">
        <v>6</v>
      </c>
      <c r="B10" s="18" t="s">
        <v>71</v>
      </c>
      <c r="C10" s="18" t="str">
        <f>VLOOKUP(B10, 'Data Awal'!$B$11:$C$29, 2, FALSE)</f>
        <v>Canon</v>
      </c>
      <c r="D10" s="30">
        <f>VLOOKUP(B10, 'Ideal &amp; Jarak'!$B$11:$E$29, 4, FALSE)</f>
        <v>0.70759105486081453</v>
      </c>
      <c r="E10" s="18" t="str">
        <f t="shared" si="0"/>
        <v>Sangat direkomendasikan</v>
      </c>
    </row>
    <row r="11" spans="1:5" ht="16" x14ac:dyDescent="0.2">
      <c r="A11" s="21">
        <v>7</v>
      </c>
      <c r="B11" s="14" t="s">
        <v>70</v>
      </c>
      <c r="C11" s="14" t="str">
        <f>VLOOKUP(B11, 'Data Awal'!$B$11:$C$29, 2, FALSE)</f>
        <v>Sony</v>
      </c>
      <c r="D11" s="29">
        <f>VLOOKUP(B11, 'Ideal &amp; Jarak'!$B$11:$E$29, 4, FALSE)</f>
        <v>0.70410589011707192</v>
      </c>
      <c r="E11" s="14" t="str">
        <f t="shared" si="0"/>
        <v>Sangat direkomendasikan</v>
      </c>
    </row>
    <row r="12" spans="1:5" ht="16" x14ac:dyDescent="0.2">
      <c r="A12" s="23">
        <v>8</v>
      </c>
      <c r="B12" s="18" t="s">
        <v>83</v>
      </c>
      <c r="C12" s="18" t="str">
        <f>VLOOKUP(B12, 'Data Awal'!$B$11:$C$29, 2, FALSE)</f>
        <v>Canon</v>
      </c>
      <c r="D12" s="30">
        <f>VLOOKUP(B12, 'Ideal &amp; Jarak'!$B$11:$E$29, 4, FALSE)</f>
        <v>0.43062047799034381</v>
      </c>
      <c r="E12" s="18" t="str">
        <f t="shared" si="0"/>
        <v>Cukup direkomendasikan</v>
      </c>
    </row>
    <row r="13" spans="1:5" ht="16" x14ac:dyDescent="0.2">
      <c r="A13" s="21">
        <v>9</v>
      </c>
      <c r="B13" s="14" t="s">
        <v>77</v>
      </c>
      <c r="C13" s="14" t="str">
        <f>VLOOKUP(B13, 'Data Awal'!$B$11:$C$29, 2, FALSE)</f>
        <v>Nikon</v>
      </c>
      <c r="D13" s="29">
        <f>VLOOKUP(B13, 'Ideal &amp; Jarak'!$B$11:$E$29, 4, FALSE)</f>
        <v>0.66995013578938889</v>
      </c>
      <c r="E13" s="14" t="str">
        <f t="shared" si="0"/>
        <v>Sangat direkomendasikan</v>
      </c>
    </row>
    <row r="14" spans="1:5" ht="16" x14ac:dyDescent="0.2">
      <c r="A14" s="23">
        <v>10</v>
      </c>
      <c r="B14" s="18" t="s">
        <v>76</v>
      </c>
      <c r="C14" s="18" t="str">
        <f>VLOOKUP(B14, 'Data Awal'!$B$11:$C$29, 2, FALSE)</f>
        <v>Fujifilm</v>
      </c>
      <c r="D14" s="30">
        <f>VLOOKUP(B14, 'Ideal &amp; Jarak'!$B$11:$E$29, 4, FALSE)</f>
        <v>0.64555206333853177</v>
      </c>
      <c r="E14" s="18" t="str">
        <f t="shared" si="0"/>
        <v>Sangat direkomendasikan</v>
      </c>
    </row>
    <row r="15" spans="1:5" ht="16" x14ac:dyDescent="0.2">
      <c r="A15" s="21">
        <v>11</v>
      </c>
      <c r="B15" s="14" t="s">
        <v>69</v>
      </c>
      <c r="C15" s="14" t="str">
        <f>VLOOKUP(B15, 'Data Awal'!$B$11:$C$29, 2, FALSE)</f>
        <v>Canon</v>
      </c>
      <c r="D15" s="29">
        <f>VLOOKUP(B15, 'Ideal &amp; Jarak'!$B$11:$E$29, 4, FALSE)</f>
        <v>0.63464387397392008</v>
      </c>
      <c r="E15" s="14" t="str">
        <f t="shared" si="0"/>
        <v>Sangat direkomendasikan</v>
      </c>
    </row>
    <row r="16" spans="1:5" ht="16" x14ac:dyDescent="0.2">
      <c r="A16" s="23">
        <v>12</v>
      </c>
      <c r="B16" s="18" t="s">
        <v>73</v>
      </c>
      <c r="C16" s="18" t="str">
        <f>VLOOKUP(B16, 'Data Awal'!$B$11:$C$29, 2, FALSE)</f>
        <v>Fujifilm</v>
      </c>
      <c r="D16" s="30">
        <f>VLOOKUP(B16, 'Ideal &amp; Jarak'!$B$11:$E$29, 4, FALSE)</f>
        <v>0.64365360370086599</v>
      </c>
      <c r="E16" s="18" t="str">
        <f t="shared" si="0"/>
        <v>Sangat direkomendasikan</v>
      </c>
    </row>
    <row r="17" spans="1:5" ht="16" x14ac:dyDescent="0.2">
      <c r="A17" s="21">
        <v>13</v>
      </c>
      <c r="B17" s="14" t="s">
        <v>81</v>
      </c>
      <c r="C17" s="14" t="str">
        <f>VLOOKUP(B17, 'Data Awal'!$B$11:$C$29, 2, FALSE)</f>
        <v>Canon</v>
      </c>
      <c r="D17" s="29">
        <f>VLOOKUP(B17, 'Ideal &amp; Jarak'!$B$11:$E$29, 4, FALSE)</f>
        <v>0.60830341389767428</v>
      </c>
      <c r="E17" s="14" t="str">
        <f t="shared" si="0"/>
        <v>Sangat direkomendasikan</v>
      </c>
    </row>
    <row r="18" spans="1:5" ht="16" x14ac:dyDescent="0.2">
      <c r="A18" s="23">
        <v>14</v>
      </c>
      <c r="B18" s="18" t="s">
        <v>67</v>
      </c>
      <c r="C18" s="18" t="str">
        <f>VLOOKUP(B18, 'Data Awal'!$B$11:$C$29, 2, FALSE)</f>
        <v>Sony</v>
      </c>
      <c r="D18" s="30">
        <f>VLOOKUP(B18, 'Ideal &amp; Jarak'!$B$11:$E$29, 4, FALSE)</f>
        <v>0.62055596420575354</v>
      </c>
      <c r="E18" s="18" t="str">
        <f t="shared" si="0"/>
        <v>Sangat direkomendasikan</v>
      </c>
    </row>
    <row r="19" spans="1:5" ht="16" x14ac:dyDescent="0.2">
      <c r="A19" s="21">
        <v>15</v>
      </c>
      <c r="B19" s="14" t="s">
        <v>64</v>
      </c>
      <c r="C19" s="14" t="str">
        <f>VLOOKUP(B19, 'Data Awal'!$B$11:$C$29, 2, FALSE)</f>
        <v>Canon</v>
      </c>
      <c r="D19" s="29">
        <f>VLOOKUP(B19, 'Ideal &amp; Jarak'!$B$11:$E$29, 4, FALSE)</f>
        <v>0.63090084115377976</v>
      </c>
      <c r="E19" s="14" t="str">
        <f t="shared" si="0"/>
        <v>Sangat direkomendasikan</v>
      </c>
    </row>
    <row r="20" spans="1:5" ht="16" x14ac:dyDescent="0.2">
      <c r="A20" s="23">
        <v>16</v>
      </c>
      <c r="B20" s="18" t="s">
        <v>84</v>
      </c>
      <c r="C20" s="18" t="str">
        <f>VLOOKUP(B20, 'Data Awal'!$B$11:$C$29, 2, FALSE)</f>
        <v>Canon</v>
      </c>
      <c r="D20" s="30">
        <f>VLOOKUP(B20, 'Ideal &amp; Jarak'!$B$11:$E$29, 4, FALSE)</f>
        <v>0.60459552303331954</v>
      </c>
      <c r="E20" s="18" t="str">
        <f t="shared" si="0"/>
        <v>Sangat direkomendasikan</v>
      </c>
    </row>
    <row r="21" spans="1:5" ht="16" x14ac:dyDescent="0.2">
      <c r="A21" s="21">
        <v>17</v>
      </c>
      <c r="B21" s="14" t="s">
        <v>86</v>
      </c>
      <c r="C21" s="14" t="str">
        <f>VLOOKUP(B21, 'Data Awal'!$B$11:$C$29, 2, FALSE)</f>
        <v>Canon</v>
      </c>
      <c r="D21" s="29">
        <f>VLOOKUP(B21, 'Ideal &amp; Jarak'!$B$11:$E$29, 4, FALSE)</f>
        <v>0.6033274936515477</v>
      </c>
      <c r="E21" s="14" t="str">
        <f t="shared" si="0"/>
        <v>Sangat direkomendasikan</v>
      </c>
    </row>
    <row r="22" spans="1:5" ht="16" x14ac:dyDescent="0.2">
      <c r="A22" s="23">
        <v>18</v>
      </c>
      <c r="B22" s="18" t="s">
        <v>82</v>
      </c>
      <c r="C22" s="18" t="str">
        <f>VLOOKUP(B22, 'Data Awal'!$B$11:$C$29, 2, FALSE)</f>
        <v>Canon</v>
      </c>
      <c r="D22" s="30">
        <f>VLOOKUP(B22, 'Ideal &amp; Jarak'!$B$11:$E$29, 4, FALSE)</f>
        <v>0.59942702949880655</v>
      </c>
      <c r="E22" s="18" t="str">
        <f t="shared" si="0"/>
        <v>Cukup direkomendasikan</v>
      </c>
    </row>
    <row r="23" spans="1:5" ht="16" x14ac:dyDescent="0.2">
      <c r="A23" s="21">
        <v>19</v>
      </c>
      <c r="B23" s="14" t="s">
        <v>80</v>
      </c>
      <c r="C23" s="14" t="str">
        <f>VLOOKUP(B23, 'Data Awal'!$B$11:$C$29, 2, FALSE)</f>
        <v>Canon</v>
      </c>
      <c r="D23" s="29">
        <f>VLOOKUP(B23, 'Ideal &amp; Jarak'!$B$11:$E$29, 4, FALSE)</f>
        <v>5.8130448642053099E-2</v>
      </c>
      <c r="E23" s="14" t="str">
        <f t="shared" si="0"/>
        <v>Alternatif pendukung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Penjelasan Rumus</vt:lpstr>
      <vt:lpstr>Petunjuk</vt:lpstr>
      <vt:lpstr>Data Awal</vt:lpstr>
      <vt:lpstr>Skor Kriteria</vt:lpstr>
      <vt:lpstr>Normalisasi</vt:lpstr>
      <vt:lpstr>Terbobot</vt:lpstr>
      <vt:lpstr>Ideal &amp; Jarak</vt:lpstr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Kahfii Adam</cp:lastModifiedBy>
  <dcterms:created xsi:type="dcterms:W3CDTF">2026-06-25T02:08:32Z</dcterms:created>
  <dcterms:modified xsi:type="dcterms:W3CDTF">2026-07-06T03:00:28Z</dcterms:modified>
</cp:coreProperties>
</file>